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nedrive.lm.se/personal/ralwel/Documents/"/>
    </mc:Choice>
  </mc:AlternateContent>
  <xr:revisionPtr revIDLastSave="60" documentId="8_{866F2422-5B2D-4BB7-BAA8-B322FF00B4E5}" xr6:coauthVersionLast="47" xr6:coauthVersionMax="47" xr10:uidLastSave="{ED38F7A4-FF9C-42C2-93CD-76F56DFC96CC}"/>
  <bookViews>
    <workbookView xWindow="-120" yWindow="-120" windowWidth="29040" windowHeight="17520" xr2:uid="{8BEBB0B0-DDB8-4C60-A365-F479DC9EE953}"/>
  </bookViews>
  <sheets>
    <sheet name="Laserdata NH" sheetId="3" r:id="rId1"/>
    <sheet name="LaserBeräkning" sheetId="1" state="hidden" r:id="rId2"/>
    <sheet name="Visningstjänster" sheetId="4" r:id="rId3"/>
    <sheet name="VisningBeräkning" sheetId="5" state="hidden" r:id="rId4"/>
  </sheets>
  <definedNames>
    <definedName name="_xlnm._FilterDatabase" localSheetId="3" hidden="1">VisningBeräkning!$B$4:$B$13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5" i="5" l="1"/>
  <c r="J45" i="5"/>
  <c r="P44" i="5"/>
  <c r="I44" i="5"/>
  <c r="C45" i="5" l="1"/>
  <c r="B44" i="5"/>
  <c r="C35" i="1"/>
  <c r="B34" i="1"/>
  <c r="B5" i="5"/>
  <c r="A136" i="5" s="1"/>
  <c r="D136" i="5" s="1"/>
  <c r="F29" i="5"/>
  <c r="B13" i="5"/>
  <c r="J23" i="5" s="1"/>
  <c r="B11" i="5"/>
  <c r="B7" i="5"/>
  <c r="B9" i="1"/>
  <c r="B31" i="1" s="1"/>
  <c r="B5" i="1"/>
  <c r="B11" i="1"/>
  <c r="M5" i="3" s="1"/>
  <c r="A110" i="5" l="1"/>
  <c r="D110" i="5" s="1"/>
  <c r="P41" i="5"/>
  <c r="I41" i="5"/>
  <c r="B41" i="5"/>
  <c r="C23" i="5"/>
  <c r="A70" i="5"/>
  <c r="O70" i="5" s="1"/>
  <c r="A126" i="5"/>
  <c r="D126" i="5" s="1"/>
  <c r="A139" i="5"/>
  <c r="D139" i="5" s="1"/>
  <c r="A138" i="5"/>
  <c r="D138" i="5" s="1"/>
  <c r="A62" i="5"/>
  <c r="O62" i="5" s="1"/>
  <c r="A135" i="5"/>
  <c r="D135" i="5" s="1"/>
  <c r="A84" i="5"/>
  <c r="K84" i="5" s="1"/>
  <c r="A64" i="5"/>
  <c r="T64" i="5" s="1"/>
  <c r="A133" i="5"/>
  <c r="D133" i="5" s="1"/>
  <c r="A65" i="5"/>
  <c r="J65" i="5" s="1"/>
  <c r="A132" i="5"/>
  <c r="D132" i="5" s="1"/>
  <c r="A66" i="5"/>
  <c r="J66" i="5" s="1"/>
  <c r="A131" i="5"/>
  <c r="D131" i="5" s="1"/>
  <c r="A67" i="5"/>
  <c r="P67" i="5" s="1"/>
  <c r="A91" i="5"/>
  <c r="U91" i="5" s="1"/>
  <c r="A93" i="5"/>
  <c r="K93" i="5" s="1"/>
  <c r="A71" i="5"/>
  <c r="K71" i="5" s="1"/>
  <c r="A80" i="5"/>
  <c r="P80" i="5" s="1"/>
  <c r="A81" i="5"/>
  <c r="U81" i="5" s="1"/>
  <c r="A82" i="5"/>
  <c r="I82" i="5" s="1"/>
  <c r="A83" i="5"/>
  <c r="Q83" i="5" s="1"/>
  <c r="A63" i="5"/>
  <c r="T63" i="5" s="1"/>
  <c r="A134" i="5"/>
  <c r="D134" i="5" s="1"/>
  <c r="A86" i="5"/>
  <c r="W86" i="5" s="1"/>
  <c r="A89" i="5"/>
  <c r="O89" i="5" s="1"/>
  <c r="A90" i="5"/>
  <c r="T90" i="5" s="1"/>
  <c r="A129" i="5"/>
  <c r="D129" i="5" s="1"/>
  <c r="A68" i="5"/>
  <c r="U68" i="5" s="1"/>
  <c r="A69" i="5"/>
  <c r="K69" i="5" s="1"/>
  <c r="A73" i="5"/>
  <c r="W73" i="5" s="1"/>
  <c r="A61" i="5"/>
  <c r="I61" i="5" s="1"/>
  <c r="A92" i="5"/>
  <c r="Q92" i="5" s="1"/>
  <c r="A130" i="5"/>
  <c r="D130" i="5" s="1"/>
  <c r="A72" i="5"/>
  <c r="Q72" i="5" s="1"/>
  <c r="A128" i="5"/>
  <c r="D128" i="5" s="1"/>
  <c r="A127" i="5"/>
  <c r="D127" i="5" s="1"/>
  <c r="A74" i="5"/>
  <c r="W74" i="5" s="1"/>
  <c r="A87" i="5"/>
  <c r="I87" i="5" s="1"/>
  <c r="A137" i="5"/>
  <c r="D137" i="5" s="1"/>
  <c r="A88" i="5"/>
  <c r="I88" i="5" s="1"/>
  <c r="A113" i="5"/>
  <c r="D113" i="5" s="1"/>
  <c r="A114" i="5"/>
  <c r="D114" i="5" s="1"/>
  <c r="A115" i="5"/>
  <c r="D115" i="5" s="1"/>
  <c r="A116" i="5"/>
  <c r="D116" i="5" s="1"/>
  <c r="A117" i="5"/>
  <c r="D117" i="5" s="1"/>
  <c r="A118" i="5"/>
  <c r="D118" i="5" s="1"/>
  <c r="A119" i="5"/>
  <c r="D119" i="5" s="1"/>
  <c r="A101" i="5"/>
  <c r="D101" i="5" s="1"/>
  <c r="A102" i="5"/>
  <c r="D102" i="5" s="1"/>
  <c r="A112" i="5"/>
  <c r="D112" i="5" s="1"/>
  <c r="A103" i="5"/>
  <c r="D103" i="5" s="1"/>
  <c r="A104" i="5"/>
  <c r="D104" i="5" s="1"/>
  <c r="A105" i="5"/>
  <c r="D105" i="5" s="1"/>
  <c r="A108" i="5"/>
  <c r="D108" i="5" s="1"/>
  <c r="A109" i="5"/>
  <c r="D109" i="5" s="1"/>
  <c r="M5" i="4"/>
  <c r="A106" i="5"/>
  <c r="D106" i="5" s="1"/>
  <c r="A111" i="5"/>
  <c r="D111" i="5" s="1"/>
  <c r="Q23" i="5"/>
  <c r="A107" i="5"/>
  <c r="D107" i="5" s="1"/>
  <c r="A85" i="5"/>
  <c r="J61" i="5" l="1"/>
  <c r="O93" i="5"/>
  <c r="P93" i="5"/>
  <c r="J93" i="5"/>
  <c r="I93" i="5"/>
  <c r="U83" i="5"/>
  <c r="Q73" i="5"/>
  <c r="E93" i="5"/>
  <c r="J73" i="5"/>
  <c r="U93" i="5"/>
  <c r="O80" i="5"/>
  <c r="J71" i="5"/>
  <c r="W71" i="5"/>
  <c r="Q71" i="5"/>
  <c r="W61" i="5"/>
  <c r="U71" i="5"/>
  <c r="P71" i="5"/>
  <c r="O71" i="5"/>
  <c r="T61" i="5"/>
  <c r="K61" i="5"/>
  <c r="E80" i="5"/>
  <c r="I72" i="5"/>
  <c r="W93" i="5"/>
  <c r="P92" i="5"/>
  <c r="I71" i="5"/>
  <c r="U61" i="5"/>
  <c r="Q61" i="5"/>
  <c r="J92" i="5"/>
  <c r="E70" i="5"/>
  <c r="I92" i="5"/>
  <c r="T71" i="5"/>
  <c r="K91" i="5"/>
  <c r="O69" i="5"/>
  <c r="P69" i="5"/>
  <c r="J80" i="5"/>
  <c r="U80" i="5"/>
  <c r="P61" i="5"/>
  <c r="J91" i="5"/>
  <c r="W69" i="5"/>
  <c r="Q70" i="5"/>
  <c r="T73" i="5"/>
  <c r="I73" i="5"/>
  <c r="J70" i="5"/>
  <c r="T70" i="5"/>
  <c r="Q91" i="5"/>
  <c r="T93" i="5"/>
  <c r="P70" i="5"/>
  <c r="T69" i="5"/>
  <c r="P91" i="5"/>
  <c r="W91" i="5"/>
  <c r="Q69" i="5"/>
  <c r="U70" i="5"/>
  <c r="I91" i="5"/>
  <c r="W70" i="5"/>
  <c r="E91" i="5"/>
  <c r="I70" i="5"/>
  <c r="E69" i="5"/>
  <c r="O73" i="5"/>
  <c r="I69" i="5"/>
  <c r="T91" i="5"/>
  <c r="O91" i="5"/>
  <c r="J69" i="5"/>
  <c r="U69" i="5"/>
  <c r="P73" i="5"/>
  <c r="K73" i="5"/>
  <c r="K70" i="5"/>
  <c r="E71" i="5"/>
  <c r="E61" i="5"/>
  <c r="O61" i="5"/>
  <c r="Q93" i="5"/>
  <c r="W62" i="5"/>
  <c r="D140" i="5"/>
  <c r="J81" i="5"/>
  <c r="T62" i="5"/>
  <c r="I80" i="5"/>
  <c r="W92" i="5"/>
  <c r="I62" i="5"/>
  <c r="U82" i="5"/>
  <c r="W82" i="5"/>
  <c r="K92" i="5"/>
  <c r="I63" i="5"/>
  <c r="K72" i="5"/>
  <c r="U72" i="5"/>
  <c r="E63" i="5"/>
  <c r="E72" i="5"/>
  <c r="T80" i="5"/>
  <c r="K80" i="5"/>
  <c r="P83" i="5"/>
  <c r="J82" i="5"/>
  <c r="J83" i="5"/>
  <c r="O82" i="5"/>
  <c r="P82" i="5"/>
  <c r="U92" i="5"/>
  <c r="Q82" i="5"/>
  <c r="T92" i="5"/>
  <c r="T82" i="5"/>
  <c r="J64" i="5"/>
  <c r="O86" i="5"/>
  <c r="U84" i="5"/>
  <c r="O72" i="5"/>
  <c r="O63" i="5"/>
  <c r="I84" i="5"/>
  <c r="J84" i="5"/>
  <c r="K81" i="5"/>
  <c r="T72" i="5"/>
  <c r="T81" i="5"/>
  <c r="P89" i="5"/>
  <c r="U73" i="5"/>
  <c r="P64" i="5"/>
  <c r="E73" i="5"/>
  <c r="W81" i="5"/>
  <c r="E92" i="5"/>
  <c r="K66" i="5"/>
  <c r="U66" i="5"/>
  <c r="P86" i="5"/>
  <c r="J87" i="5"/>
  <c r="O81" i="5"/>
  <c r="K87" i="5"/>
  <c r="J86" i="5"/>
  <c r="W64" i="5"/>
  <c r="J72" i="5"/>
  <c r="I81" i="5"/>
  <c r="P66" i="5"/>
  <c r="W80" i="5"/>
  <c r="K90" i="5"/>
  <c r="O65" i="5"/>
  <c r="E90" i="5"/>
  <c r="I66" i="5"/>
  <c r="I64" i="5"/>
  <c r="Q65" i="5"/>
  <c r="Q63" i="5"/>
  <c r="T65" i="5"/>
  <c r="E89" i="5"/>
  <c r="I74" i="5"/>
  <c r="O87" i="5"/>
  <c r="J63" i="5"/>
  <c r="P87" i="5"/>
  <c r="Q66" i="5"/>
  <c r="Q81" i="5"/>
  <c r="K62" i="5"/>
  <c r="J90" i="5"/>
  <c r="K64" i="5"/>
  <c r="K82" i="5"/>
  <c r="O92" i="5"/>
  <c r="E65" i="5"/>
  <c r="Q89" i="5"/>
  <c r="K89" i="5"/>
  <c r="I68" i="5"/>
  <c r="Q87" i="5"/>
  <c r="W90" i="5"/>
  <c r="J88" i="5"/>
  <c r="U86" i="5"/>
  <c r="K68" i="5"/>
  <c r="W66" i="5"/>
  <c r="E86" i="5"/>
  <c r="E82" i="5"/>
  <c r="T87" i="5"/>
  <c r="Q88" i="5"/>
  <c r="T84" i="5"/>
  <c r="I90" i="5"/>
  <c r="K65" i="5"/>
  <c r="T67" i="5"/>
  <c r="O67" i="5"/>
  <c r="E68" i="5"/>
  <c r="J67" i="5"/>
  <c r="E67" i="5"/>
  <c r="J89" i="5"/>
  <c r="W87" i="5"/>
  <c r="K83" i="5"/>
  <c r="T83" i="5"/>
  <c r="K86" i="5"/>
  <c r="J68" i="5"/>
  <c r="O90" i="5"/>
  <c r="W72" i="5"/>
  <c r="O66" i="5"/>
  <c r="P63" i="5"/>
  <c r="P72" i="5"/>
  <c r="K67" i="5"/>
  <c r="Q64" i="5"/>
  <c r="E64" i="5"/>
  <c r="K74" i="5"/>
  <c r="I65" i="5"/>
  <c r="I89" i="5"/>
  <c r="W84" i="5"/>
  <c r="I83" i="5"/>
  <c r="U62" i="5"/>
  <c r="T86" i="5"/>
  <c r="T66" i="5"/>
  <c r="O68" i="5"/>
  <c r="E84" i="5"/>
  <c r="I67" i="5"/>
  <c r="U64" i="5"/>
  <c r="K63" i="5"/>
  <c r="O64" i="5"/>
  <c r="I86" i="5"/>
  <c r="E87" i="5"/>
  <c r="O74" i="5"/>
  <c r="P62" i="5"/>
  <c r="P81" i="5"/>
  <c r="O83" i="5"/>
  <c r="W63" i="5"/>
  <c r="U63" i="5"/>
  <c r="W65" i="5"/>
  <c r="W67" i="5"/>
  <c r="W68" i="5"/>
  <c r="Q90" i="5"/>
  <c r="P90" i="5"/>
  <c r="U87" i="5"/>
  <c r="U89" i="5"/>
  <c r="P68" i="5"/>
  <c r="P84" i="5"/>
  <c r="Q68" i="5"/>
  <c r="E74" i="5"/>
  <c r="Q67" i="5"/>
  <c r="E83" i="5"/>
  <c r="P65" i="5"/>
  <c r="E66" i="5"/>
  <c r="J74" i="5"/>
  <c r="Q62" i="5"/>
  <c r="Q84" i="5"/>
  <c r="W89" i="5"/>
  <c r="U67" i="5"/>
  <c r="Q86" i="5"/>
  <c r="T68" i="5"/>
  <c r="J62" i="5"/>
  <c r="E62" i="5"/>
  <c r="E81" i="5"/>
  <c r="P74" i="5"/>
  <c r="U90" i="5"/>
  <c r="O84" i="5"/>
  <c r="Q80" i="5"/>
  <c r="T89" i="5"/>
  <c r="W83" i="5"/>
  <c r="U65" i="5"/>
  <c r="W88" i="5"/>
  <c r="U88" i="5"/>
  <c r="Q74" i="5"/>
  <c r="T88" i="5"/>
  <c r="T74" i="5"/>
  <c r="U74" i="5"/>
  <c r="O88" i="5"/>
  <c r="E88" i="5"/>
  <c r="P88" i="5"/>
  <c r="K88" i="5"/>
  <c r="D120" i="5"/>
  <c r="Q85" i="5"/>
  <c r="E85" i="5"/>
  <c r="I85" i="5"/>
  <c r="K85" i="5"/>
  <c r="T85" i="5"/>
  <c r="W85" i="5"/>
  <c r="U85" i="5"/>
  <c r="O85" i="5"/>
  <c r="J85" i="5"/>
  <c r="P85" i="5"/>
  <c r="J42" i="5" l="1"/>
  <c r="Q42" i="5"/>
  <c r="C42" i="5"/>
  <c r="O94" i="5"/>
  <c r="F57" i="5" s="1"/>
  <c r="P33" i="5" s="1"/>
  <c r="I75" i="5"/>
  <c r="C56" i="5" s="1"/>
  <c r="K75" i="5"/>
  <c r="E56" i="5" s="1"/>
  <c r="W75" i="5"/>
  <c r="K56" i="5" s="1"/>
  <c r="O75" i="5"/>
  <c r="F56" i="5" s="1"/>
  <c r="T75" i="5"/>
  <c r="I56" i="5" s="1"/>
  <c r="W94" i="5"/>
  <c r="K57" i="5" s="1"/>
  <c r="C24" i="5" s="1"/>
  <c r="Q75" i="5"/>
  <c r="H56" i="5" s="1"/>
  <c r="E75" i="5"/>
  <c r="B56" i="5" s="1"/>
  <c r="P75" i="5"/>
  <c r="G56" i="5" s="1"/>
  <c r="J75" i="5"/>
  <c r="D56" i="5" s="1"/>
  <c r="U75" i="5"/>
  <c r="J56" i="5" s="1"/>
  <c r="T94" i="5"/>
  <c r="I57" i="5" s="1"/>
  <c r="P36" i="5" s="1"/>
  <c r="I94" i="5"/>
  <c r="C57" i="5" s="1"/>
  <c r="I33" i="5" s="1"/>
  <c r="U94" i="5"/>
  <c r="J57" i="5" s="1"/>
  <c r="Q37" i="5" s="1"/>
  <c r="Q94" i="5"/>
  <c r="H57" i="5" s="1"/>
  <c r="J37" i="5" s="1"/>
  <c r="J94" i="5"/>
  <c r="D57" i="5" s="1"/>
  <c r="K94" i="5"/>
  <c r="E57" i="5" s="1"/>
  <c r="J34" i="5" s="1"/>
  <c r="E94" i="5"/>
  <c r="B57" i="5" s="1"/>
  <c r="Q22" i="5" s="1"/>
  <c r="S27" i="5" s="1"/>
  <c r="P94" i="5"/>
  <c r="G57" i="5" s="1"/>
  <c r="Q33" i="5" s="1"/>
  <c r="Q24" i="5" l="1"/>
  <c r="J24" i="5"/>
  <c r="I36" i="5"/>
  <c r="Q31" i="5"/>
  <c r="P30" i="5"/>
  <c r="Q34" i="5"/>
  <c r="J22" i="5"/>
  <c r="L27" i="5" s="1"/>
  <c r="Q30" i="5"/>
  <c r="J33" i="5"/>
  <c r="C22" i="5"/>
  <c r="E27" i="5" s="1"/>
  <c r="T27" i="5"/>
  <c r="R36" i="5"/>
  <c r="S35" i="5" s="1"/>
  <c r="M27" i="5" l="1"/>
  <c r="S29" i="5"/>
  <c r="B39" i="5"/>
  <c r="E38" i="5" s="1"/>
  <c r="F38" i="5" s="1"/>
  <c r="M7" i="4" a="1"/>
  <c r="M7" i="4" s="1"/>
  <c r="K36" i="5"/>
  <c r="L35" i="5" s="1"/>
  <c r="M6" i="4" a="1"/>
  <c r="M6" i="4" s="1"/>
  <c r="T29" i="5"/>
  <c r="F27" i="5"/>
  <c r="R33" i="5"/>
  <c r="E40" i="5" l="1"/>
  <c r="F40" i="5" s="1"/>
  <c r="K33" i="5"/>
  <c r="L32" i="5" s="1"/>
  <c r="M29" i="5" s="1"/>
  <c r="S32" i="5"/>
  <c r="R30" i="5"/>
  <c r="E43" i="5" l="1"/>
  <c r="F43" i="5" s="1"/>
  <c r="M35" i="5"/>
  <c r="I39" i="5" s="1"/>
  <c r="L38" i="5" s="1"/>
  <c r="L40" i="5" s="1"/>
  <c r="L43" i="5" s="1"/>
  <c r="M32" i="5"/>
  <c r="M9" i="4" a="1"/>
  <c r="M9" i="4" s="1"/>
  <c r="U29" i="5"/>
  <c r="T35" i="5"/>
  <c r="P39" i="5" s="1"/>
  <c r="S38" i="5" s="1"/>
  <c r="T38" i="5" s="1"/>
  <c r="S40" i="5" s="1"/>
  <c r="T32" i="5"/>
  <c r="E46" i="5" l="1"/>
  <c r="E47" i="5" s="1"/>
  <c r="E48" i="5" s="1"/>
  <c r="M13" i="4" a="1"/>
  <c r="M13" i="4" s="1"/>
  <c r="L13" i="4" s="1"/>
  <c r="M38" i="5"/>
  <c r="M40" i="5"/>
  <c r="M10" i="4" a="1"/>
  <c r="M10" i="4" s="1"/>
  <c r="T40" i="5"/>
  <c r="S43" i="5" s="1"/>
  <c r="M43" i="5"/>
  <c r="S46" i="5" l="1"/>
  <c r="S47" i="5" s="1"/>
  <c r="S48" i="5" s="1"/>
  <c r="M14" i="4" a="1"/>
  <c r="M14" i="4" s="1"/>
  <c r="L46" i="5"/>
  <c r="L47" i="5" l="1"/>
  <c r="L48" i="5" s="1"/>
  <c r="C16" i="1" l="1"/>
  <c r="B26" i="1"/>
  <c r="C23" i="1"/>
  <c r="B23" i="1"/>
  <c r="C17" i="1"/>
  <c r="C15" i="1"/>
  <c r="A75" i="1"/>
  <c r="D75" i="1" s="1"/>
  <c r="A74" i="1"/>
  <c r="D74" i="1" s="1"/>
  <c r="A73" i="1"/>
  <c r="D73" i="1" s="1"/>
  <c r="A72" i="1"/>
  <c r="D72" i="1" s="1"/>
  <c r="A71" i="1"/>
  <c r="D71" i="1" s="1"/>
  <c r="A70" i="1"/>
  <c r="D70" i="1" s="1"/>
  <c r="A69" i="1"/>
  <c r="D69" i="1" s="1"/>
  <c r="A68" i="1"/>
  <c r="D68" i="1" s="1"/>
  <c r="A67" i="1"/>
  <c r="D67" i="1" s="1"/>
  <c r="A66" i="1"/>
  <c r="D66" i="1" s="1"/>
  <c r="A65" i="1"/>
  <c r="D65" i="1" s="1"/>
  <c r="A64" i="1"/>
  <c r="D64" i="1" s="1"/>
  <c r="A63" i="1"/>
  <c r="D63" i="1" s="1"/>
  <c r="A62" i="1"/>
  <c r="D62" i="1" s="1"/>
  <c r="A61" i="1"/>
  <c r="D61" i="1" s="1"/>
  <c r="A60" i="1"/>
  <c r="D60" i="1" s="1"/>
  <c r="A59" i="1"/>
  <c r="D59" i="1" s="1"/>
  <c r="A58" i="1"/>
  <c r="D58" i="1" s="1"/>
  <c r="A57" i="1"/>
  <c r="D57" i="1" s="1"/>
  <c r="M6" i="3" l="1"/>
  <c r="D76" i="1"/>
  <c r="C32" i="1" s="1"/>
  <c r="E20" i="1"/>
  <c r="M7" i="3" l="1"/>
  <c r="D26" i="1"/>
  <c r="D23" i="1" s="1"/>
  <c r="E22" i="1" s="1"/>
  <c r="G20" i="1"/>
  <c r="E25" i="1" l="1"/>
  <c r="G22" i="1"/>
  <c r="M9" i="3" l="1"/>
  <c r="G25" i="1"/>
  <c r="G28" i="1" s="1"/>
  <c r="B29" i="1" l="1"/>
  <c r="E28" i="1" s="1"/>
  <c r="E30" i="1" s="1"/>
  <c r="E33" i="1" s="1"/>
  <c r="M14" i="3" s="1"/>
  <c r="M13" i="3" l="1"/>
  <c r="L13" i="3" s="1"/>
  <c r="M11" i="4"/>
  <c r="M10" i="3"/>
  <c r="M11" i="3" s="1"/>
  <c r="G30" i="1"/>
  <c r="G33" i="1" l="1"/>
  <c r="M15" i="4"/>
  <c r="E36" i="1" l="1"/>
  <c r="E37" i="1" s="1"/>
  <c r="E38" i="1" s="1"/>
  <c r="E39" i="1" s="1"/>
  <c r="M15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<sst xmlns="http://schemas.openxmlformats.org/spreadsheetml/2006/main" count="317" uniqueCount="103">
  <si>
    <t>Typ av beställning</t>
  </si>
  <si>
    <t>Kommersiell vidareförädling</t>
  </si>
  <si>
    <t>Kommersiell vidareförädling?</t>
  </si>
  <si>
    <t>Användningskategori slutkund</t>
  </si>
  <si>
    <t>AVGIFT</t>
  </si>
  <si>
    <t>Avgiftsinformation</t>
  </si>
  <si>
    <t>Avgift/km2</t>
  </si>
  <si>
    <t>Antal km2</t>
  </si>
  <si>
    <t>Grundavgift</t>
  </si>
  <si>
    <t>Avgift X Antal</t>
  </si>
  <si>
    <t>Rabattsteg 1</t>
  </si>
  <si>
    <t>Faktor</t>
  </si>
  <si>
    <t>Rabattsteg 2</t>
  </si>
  <si>
    <t>Användningskategori</t>
  </si>
  <si>
    <t>Belopp över maxavgift</t>
  </si>
  <si>
    <t>Licensavgift exkl moms</t>
  </si>
  <si>
    <t>Moms 6%</t>
  </si>
  <si>
    <t>Licensavgift inkl moms</t>
  </si>
  <si>
    <t>LICENSAVGIFT TOTAL</t>
  </si>
  <si>
    <t>Engångsuttag</t>
  </si>
  <si>
    <t>Maxavgift</t>
  </si>
  <si>
    <t>Ja</t>
  </si>
  <si>
    <t>Nej</t>
  </si>
  <si>
    <t>Forskning, utbildning och kulturverksamhet</t>
  </si>
  <si>
    <t>Geodatasamverkan</t>
  </si>
  <si>
    <t>Geodatasamverkan Kommunal gränsöverskridande samverkan</t>
  </si>
  <si>
    <t>Icke kommersiell slutanvändning Organisation</t>
  </si>
  <si>
    <t>Kommersiell slutanvändning</t>
  </si>
  <si>
    <t>Kommersiell slutanvändning Koncernlicens fler än 20 bolag</t>
  </si>
  <si>
    <t>Kommersiell slutanvändning Koncernlicens 6 20 bolag</t>
  </si>
  <si>
    <t>Kommersiell slutanvändning Koncernlicens 2 5 bolag</t>
  </si>
  <si>
    <t>Offentlig slutanvändning</t>
  </si>
  <si>
    <t>Offentlig slutanvändning Avgiftsfria geodata för ambulans och räddningsverksamhet</t>
  </si>
  <si>
    <t>Offentlig slutanvändning Avgiftsfria data för statliga myndigheter</t>
  </si>
  <si>
    <t>Offentlig slutanvändning Nordiska geodata för krishantering</t>
  </si>
  <si>
    <t>Offentlig slutanvändning Kommunal gränsöverskridande samverkan</t>
  </si>
  <si>
    <t>Icke kommersiell slutanvändning Privatperson</t>
  </si>
  <si>
    <t>Kommersiell slutanvändning Fler än 20 anställda</t>
  </si>
  <si>
    <t>Kommersiell slutanvändning 6-20 anställda</t>
  </si>
  <si>
    <t>Kommersiell slutanvändning 2-5 anställda</t>
  </si>
  <si>
    <t>Kommersiell slutanvändning 1 anställd</t>
  </si>
  <si>
    <t>Använd faktor</t>
  </si>
  <si>
    <t>Använd</t>
  </si>
  <si>
    <t>Kr inom rabattsteg</t>
  </si>
  <si>
    <t>Summa</t>
  </si>
  <si>
    <t>AVGIFTSBERÄKNING</t>
  </si>
  <si>
    <t>3. Avgift</t>
  </si>
  <si>
    <t>Rabattrappa</t>
  </si>
  <si>
    <t>Denna fil är framtagen som ett  stöd för avgiftsberäkning. Lantmäteriet reserverar sig för eventuella fel i filen.</t>
  </si>
  <si>
    <t>Välj produkt</t>
  </si>
  <si>
    <r>
      <t>2. Antal km</t>
    </r>
    <r>
      <rPr>
        <b/>
        <vertAlign val="superscript"/>
        <sz val="16"/>
        <color theme="1"/>
        <rFont val="Aptos Display"/>
        <family val="2"/>
        <scheme val="major"/>
      </rPr>
      <t>2</t>
    </r>
  </si>
  <si>
    <t>1. Konfiguration</t>
  </si>
  <si>
    <t>Välj slutkunds användarkategori</t>
  </si>
  <si>
    <t>Typ av avgift</t>
  </si>
  <si>
    <t>Laserdata Nedladdning, NH</t>
  </si>
  <si>
    <t xml:space="preserve"> </t>
  </si>
  <si>
    <r>
      <t>Avgift/km</t>
    </r>
    <r>
      <rPr>
        <vertAlign val="superscript"/>
        <sz val="11"/>
        <color theme="1"/>
        <rFont val="Aptos Narrow"/>
        <family val="2"/>
        <scheme val="minor"/>
      </rPr>
      <t>2</t>
    </r>
  </si>
  <si>
    <r>
      <t>Antal km</t>
    </r>
    <r>
      <rPr>
        <vertAlign val="superscript"/>
        <sz val="11"/>
        <color theme="1"/>
        <rFont val="Aptos Narrow"/>
        <family val="2"/>
        <scheme val="minor"/>
      </rPr>
      <t>2</t>
    </r>
  </si>
  <si>
    <t>Årlig avgift</t>
  </si>
  <si>
    <t>Avgift</t>
  </si>
  <si>
    <t>Vidareförädlarrabatt</t>
  </si>
  <si>
    <t>Produkt</t>
  </si>
  <si>
    <t>Ortofoto Visning</t>
  </si>
  <si>
    <t>Årlig abonnemang</t>
  </si>
  <si>
    <t>Kommersiell vidareförändling?</t>
  </si>
  <si>
    <t>Produkter utan rabattsteg</t>
  </si>
  <si>
    <t>Produkter 2 rabattsteg</t>
  </si>
  <si>
    <t>Produkter 3 rabattsteg</t>
  </si>
  <si>
    <t>Hydrografi Visning, Inspire</t>
  </si>
  <si>
    <t>Alla andra produkter</t>
  </si>
  <si>
    <t>Markreglerande bestämmelse Visning</t>
  </si>
  <si>
    <t>Ortofoto Visning, Årsvisa</t>
  </si>
  <si>
    <t>Rättighet Visning</t>
  </si>
  <si>
    <t>Antal x Avgift</t>
  </si>
  <si>
    <t>Rabattsteg 3</t>
  </si>
  <si>
    <t>Moms 25%</t>
  </si>
  <si>
    <t>Månadsabonnemang</t>
  </si>
  <si>
    <t>Produkter</t>
  </si>
  <si>
    <t>Typ</t>
  </si>
  <si>
    <t>Avgift km2</t>
  </si>
  <si>
    <t>Använd avgift</t>
  </si>
  <si>
    <t>Använd rabatt 1</t>
  </si>
  <si>
    <t>Använd rabatt 2</t>
  </si>
  <si>
    <t>Använd rabatt 3</t>
  </si>
  <si>
    <t>Använd Maxavgift</t>
  </si>
  <si>
    <t>Månad</t>
  </si>
  <si>
    <t>Basemap Visning, Inspire</t>
  </si>
  <si>
    <t>Byggnad Visning, vector tiles</t>
  </si>
  <si>
    <t>Fastighetsindelning Visning</t>
  </si>
  <si>
    <t>Fastighetsindelning Visning, vector tiles</t>
  </si>
  <si>
    <t>Markhöjdmodell Visning</t>
  </si>
  <si>
    <t>Topografi Visning, vector tiles</t>
  </si>
  <si>
    <t>Topografisk webbkarta Visning</t>
  </si>
  <si>
    <t>Topografisk webbkarta Visning, cache</t>
  </si>
  <si>
    <t>Topografisk webbkarta Visning, skiktindelad</t>
  </si>
  <si>
    <t>Ortofoto Visning Årsvisa</t>
  </si>
  <si>
    <t>Årlig</t>
  </si>
  <si>
    <t>Produkter bokstavsordning</t>
  </si>
  <si>
    <t>Månadsavgift</t>
  </si>
  <si>
    <t>Rabattsteg</t>
  </si>
  <si>
    <t>Använd Rabattsteg</t>
  </si>
  <si>
    <t>Använd rabatttrappa</t>
  </si>
  <si>
    <t>Delsumma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</si>
</sst>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kr&quot;_-;\-* #,##0.00\ &quot;kr&quot;_-;_-* &quot;-&quot;??\ &quot;kr&quot;_-;_-@_-"/>
    <numFmt numFmtId="43" formatCode="_-* #,##0.00_-;\-* #,##0.00_-;_-* &quot;-&quot;??_-;_-@_-"/>
    <numFmt numFmtId="164" formatCode="#,##0.00\ &quot;kr&quot;"/>
    <numFmt numFmtId="165" formatCode="#,##0\ &quot;kr&quot;"/>
    <numFmt numFmtId="166" formatCode="_-* #,##0.00\ _k_r_-;\-* #,##0.00\ _k_r_-;_-* &quot;-&quot;??\ _k_r_-;_-@_-"/>
    <numFmt numFmtId="167" formatCode="#,##0.0000\ &quot;kr&quot;"/>
    <numFmt numFmtId="168" formatCode="#,##0.000\ &quot;kr&quot;"/>
  </numFmts>
  <fonts count="2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3" tint="0.499984740745262"/>
      <name val="Aptos Narrow"/>
      <family val="2"/>
      <scheme val="minor"/>
    </font>
    <font>
      <sz val="11"/>
      <color theme="0" tint="-0.249977111117893"/>
      <name val="Aptos Narrow"/>
      <family val="2"/>
      <scheme val="minor"/>
    </font>
    <font>
      <b/>
      <sz val="11"/>
      <color theme="7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6"/>
      <color theme="1"/>
      <name val="Aptos Display"/>
      <family val="2"/>
      <scheme val="major"/>
    </font>
    <font>
      <b/>
      <sz val="16"/>
      <color theme="1"/>
      <name val="Aptos Narrow"/>
      <family val="2"/>
      <scheme val="minor"/>
    </font>
    <font>
      <i/>
      <sz val="9"/>
      <name val="Aptos Narrow"/>
      <family val="2"/>
      <scheme val="minor"/>
    </font>
    <font>
      <b/>
      <sz val="14"/>
      <color theme="1"/>
      <name val="Aptos Display"/>
      <family val="2"/>
      <scheme val="major"/>
    </font>
    <font>
      <b/>
      <sz val="12"/>
      <color theme="1"/>
      <name val="Aptos Narrow"/>
      <family val="2"/>
      <scheme val="minor"/>
    </font>
    <font>
      <b/>
      <vertAlign val="superscript"/>
      <sz val="16"/>
      <color theme="1"/>
      <name val="Aptos Display"/>
      <family val="2"/>
      <scheme val="major"/>
    </font>
    <font>
      <vertAlign val="superscript"/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6"/>
      <color rgb="FF00B0F0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b/>
      <sz val="14"/>
      <color theme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150">
    <xf numFmtId="0" fontId="0" fillId="0" borderId="0" xfId="0"/>
    <xf numFmtId="0" fontId="3" fillId="0" borderId="0" xfId="0" applyFont="1"/>
    <xf numFmtId="0" fontId="0" fillId="3" borderId="0" xfId="0" applyFill="1" applyBorder="1"/>
    <xf numFmtId="0" fontId="0" fillId="0" borderId="0" xfId="0" applyBorder="1"/>
    <xf numFmtId="164" fontId="0" fillId="3" borderId="0" xfId="0" applyNumberFormat="1" applyFill="1" applyBorder="1"/>
    <xf numFmtId="0" fontId="0" fillId="4" borderId="0" xfId="0" applyFill="1" applyBorder="1"/>
    <xf numFmtId="0" fontId="1" fillId="4" borderId="0" xfId="0" applyFont="1" applyFill="1" applyBorder="1"/>
    <xf numFmtId="0" fontId="1" fillId="0" borderId="0" xfId="0" applyFont="1"/>
    <xf numFmtId="0" fontId="5" fillId="0" borderId="0" xfId="0" applyFont="1"/>
    <xf numFmtId="164" fontId="0" fillId="0" borderId="0" xfId="0" applyNumberFormat="1"/>
    <xf numFmtId="0" fontId="0" fillId="5" borderId="1" xfId="0" applyFill="1" applyBorder="1" applyProtection="1"/>
    <xf numFmtId="0" fontId="0" fillId="5" borderId="2" xfId="0" applyFill="1" applyBorder="1" applyProtection="1"/>
    <xf numFmtId="0" fontId="0" fillId="5" borderId="3" xfId="0" applyFill="1" applyBorder="1" applyProtection="1"/>
    <xf numFmtId="0" fontId="0" fillId="0" borderId="0" xfId="0" applyProtection="1"/>
    <xf numFmtId="0" fontId="0" fillId="5" borderId="4" xfId="0" applyFill="1" applyBorder="1" applyProtection="1"/>
    <xf numFmtId="0" fontId="4" fillId="5" borderId="0" xfId="0" applyFont="1" applyFill="1" applyBorder="1" applyProtection="1"/>
    <xf numFmtId="0" fontId="0" fillId="5" borderId="0" xfId="0" applyFill="1" applyBorder="1" applyProtection="1"/>
    <xf numFmtId="0" fontId="0" fillId="5" borderId="5" xfId="0" applyFill="1" applyBorder="1" applyProtection="1"/>
    <xf numFmtId="0" fontId="1" fillId="2" borderId="0" xfId="0" applyFont="1" applyFill="1" applyBorder="1" applyProtection="1"/>
    <xf numFmtId="0" fontId="0" fillId="2" borderId="0" xfId="0" applyFill="1" applyBorder="1" applyProtection="1"/>
    <xf numFmtId="3" fontId="2" fillId="3" borderId="0" xfId="0" applyNumberFormat="1" applyFont="1" applyFill="1" applyBorder="1" applyProtection="1"/>
    <xf numFmtId="0" fontId="0" fillId="3" borderId="0" xfId="0" applyFill="1" applyBorder="1" applyProtection="1"/>
    <xf numFmtId="0" fontId="2" fillId="3" borderId="0" xfId="0" applyFont="1" applyFill="1" applyBorder="1" applyProtection="1"/>
    <xf numFmtId="4" fontId="2" fillId="3" borderId="0" xfId="0" applyNumberFormat="1" applyFont="1" applyFill="1" applyBorder="1" applyAlignment="1" applyProtection="1">
      <alignment horizontal="left"/>
    </xf>
    <xf numFmtId="164" fontId="0" fillId="3" borderId="0" xfId="0" applyNumberFormat="1" applyFill="1" applyBorder="1" applyProtection="1"/>
    <xf numFmtId="0" fontId="0" fillId="4" borderId="0" xfId="0" applyFill="1" applyBorder="1" applyProtection="1"/>
    <xf numFmtId="4" fontId="5" fillId="4" borderId="0" xfId="0" applyNumberFormat="1" applyFont="1" applyFill="1" applyBorder="1" applyProtection="1"/>
    <xf numFmtId="0" fontId="3" fillId="0" borderId="0" xfId="0" applyFont="1" applyProtection="1"/>
    <xf numFmtId="0" fontId="1" fillId="3" borderId="0" xfId="0" applyFont="1" applyFill="1" applyBorder="1" applyProtection="1"/>
    <xf numFmtId="164" fontId="3" fillId="0" borderId="0" xfId="0" applyNumberFormat="1" applyFont="1" applyProtection="1"/>
    <xf numFmtId="0" fontId="1" fillId="4" borderId="0" xfId="0" applyFont="1" applyFill="1" applyBorder="1" applyProtection="1"/>
    <xf numFmtId="0" fontId="0" fillId="4" borderId="0" xfId="0" applyFill="1" applyBorder="1" applyAlignment="1" applyProtection="1">
      <alignment horizontal="left"/>
    </xf>
    <xf numFmtId="0" fontId="3" fillId="4" borderId="0" xfId="0" applyFont="1" applyFill="1" applyBorder="1" applyProtection="1"/>
    <xf numFmtId="164" fontId="0" fillId="4" borderId="0" xfId="0" applyNumberFormat="1" applyFill="1" applyBorder="1" applyProtection="1"/>
    <xf numFmtId="165" fontId="0" fillId="4" borderId="0" xfId="0" applyNumberFormat="1" applyFill="1" applyBorder="1" applyAlignment="1" applyProtection="1">
      <alignment horizontal="left"/>
    </xf>
    <xf numFmtId="164" fontId="0" fillId="4" borderId="0" xfId="0" applyNumberFormat="1" applyFill="1" applyBorder="1" applyAlignment="1" applyProtection="1">
      <alignment horizontal="left"/>
    </xf>
    <xf numFmtId="165" fontId="3" fillId="4" borderId="0" xfId="0" applyNumberFormat="1" applyFont="1" applyFill="1" applyBorder="1" applyProtection="1"/>
    <xf numFmtId="165" fontId="0" fillId="4" borderId="0" xfId="0" applyNumberFormat="1" applyFill="1" applyBorder="1" applyProtection="1"/>
    <xf numFmtId="0" fontId="0" fillId="3" borderId="0" xfId="0" applyFill="1" applyBorder="1" applyAlignment="1" applyProtection="1">
      <alignment horizontal="left"/>
    </xf>
    <xf numFmtId="0" fontId="3" fillId="3" borderId="0" xfId="0" applyFont="1" applyFill="1" applyBorder="1" applyProtection="1"/>
    <xf numFmtId="164" fontId="0" fillId="3" borderId="0" xfId="0" applyNumberFormat="1" applyFill="1" applyBorder="1" applyAlignment="1" applyProtection="1">
      <alignment horizontal="left"/>
    </xf>
    <xf numFmtId="164" fontId="3" fillId="3" borderId="0" xfId="0" applyNumberFormat="1" applyFont="1" applyFill="1" applyBorder="1" applyProtection="1"/>
    <xf numFmtId="164" fontId="1" fillId="2" borderId="0" xfId="0" applyNumberFormat="1" applyFont="1" applyFill="1" applyBorder="1" applyProtection="1"/>
    <xf numFmtId="0" fontId="0" fillId="5" borderId="6" xfId="0" applyFill="1" applyBorder="1" applyProtection="1"/>
    <xf numFmtId="0" fontId="0" fillId="5" borderId="7" xfId="0" applyFill="1" applyBorder="1" applyProtection="1"/>
    <xf numFmtId="0" fontId="0" fillId="5" borderId="8" xfId="0" applyFill="1" applyBorder="1" applyProtection="1"/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6" fillId="0" borderId="0" xfId="0" applyFont="1" applyBorder="1" applyProtection="1"/>
    <xf numFmtId="0" fontId="0" fillId="0" borderId="0" xfId="0" applyBorder="1" applyProtection="1"/>
    <xf numFmtId="0" fontId="0" fillId="0" borderId="5" xfId="0" applyBorder="1" applyProtection="1"/>
    <xf numFmtId="0" fontId="1" fillId="0" borderId="0" xfId="0" applyFont="1" applyBorder="1" applyProtection="1"/>
    <xf numFmtId="164" fontId="0" fillId="0" borderId="0" xfId="0" applyNumberFormat="1" applyBorder="1" applyProtection="1"/>
    <xf numFmtId="165" fontId="0" fillId="0" borderId="0" xfId="0" applyNumberFormat="1" applyBorder="1" applyProtection="1"/>
    <xf numFmtId="0" fontId="1" fillId="2" borderId="4" xfId="0" applyFont="1" applyFill="1" applyBorder="1" applyProtection="1"/>
    <xf numFmtId="0" fontId="0" fillId="0" borderId="6" xfId="0" applyBorder="1" applyProtection="1"/>
    <xf numFmtId="0" fontId="0" fillId="0" borderId="7" xfId="0" applyBorder="1" applyProtection="1"/>
    <xf numFmtId="0" fontId="0" fillId="0" borderId="8" xfId="0" applyBorder="1" applyProtection="1"/>
    <xf numFmtId="0" fontId="10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5" fillId="0" borderId="0" xfId="0" applyFont="1" applyAlignment="1" applyProtection="1">
      <alignment horizontal="left" vertical="center"/>
    </xf>
    <xf numFmtId="0" fontId="11" fillId="0" borderId="0" xfId="0" applyFont="1" applyProtection="1"/>
    <xf numFmtId="0" fontId="12" fillId="0" borderId="0" xfId="0" applyFont="1" applyProtection="1"/>
    <xf numFmtId="0" fontId="1" fillId="0" borderId="0" xfId="0" applyFont="1" applyProtection="1"/>
    <xf numFmtId="0" fontId="5" fillId="0" borderId="0" xfId="0" applyFont="1" applyProtection="1"/>
    <xf numFmtId="0" fontId="9" fillId="0" borderId="0" xfId="0" applyFont="1" applyProtection="1"/>
    <xf numFmtId="0" fontId="0" fillId="0" borderId="0" xfId="0" applyBorder="1" applyAlignment="1" applyProtection="1">
      <alignment horizontal="left"/>
    </xf>
    <xf numFmtId="166" fontId="0" fillId="0" borderId="0" xfId="2" applyNumberFormat="1" applyFont="1" applyBorder="1" applyAlignment="1" applyProtection="1">
      <alignment horizontal="right"/>
    </xf>
    <xf numFmtId="0" fontId="13" fillId="0" borderId="0" xfId="0" applyFont="1" applyAlignment="1" applyProtection="1">
      <alignment horizontal="left" indent="1"/>
    </xf>
    <xf numFmtId="44" fontId="0" fillId="0" borderId="7" xfId="1" applyNumberFormat="1" applyFont="1" applyBorder="1" applyAlignment="1" applyProtection="1">
      <alignment horizontal="left"/>
    </xf>
    <xf numFmtId="3" fontId="0" fillId="0" borderId="0" xfId="1" applyNumberFormat="1" applyFont="1" applyBorder="1" applyAlignment="1" applyProtection="1">
      <alignment horizontal="center"/>
    </xf>
    <xf numFmtId="44" fontId="1" fillId="0" borderId="0" xfId="2" applyFont="1" applyAlignment="1" applyProtection="1">
      <alignment horizontal="left"/>
    </xf>
    <xf numFmtId="44" fontId="0" fillId="0" borderId="0" xfId="2" applyFont="1" applyAlignment="1" applyProtection="1">
      <alignment horizontal="left"/>
    </xf>
    <xf numFmtId="164" fontId="0" fillId="0" borderId="0" xfId="0" applyNumberFormat="1" applyProtection="1"/>
    <xf numFmtId="44" fontId="0" fillId="0" borderId="0" xfId="2" applyFont="1" applyBorder="1" applyAlignment="1" applyProtection="1">
      <alignment horizontal="left"/>
    </xf>
    <xf numFmtId="44" fontId="0" fillId="0" borderId="7" xfId="2" applyFont="1" applyBorder="1" applyAlignment="1" applyProtection="1">
      <alignment horizontal="left"/>
    </xf>
    <xf numFmtId="0" fontId="0" fillId="0" borderId="0" xfId="0" applyAlignment="1" applyProtection="1">
      <alignment horizontal="left"/>
    </xf>
    <xf numFmtId="0" fontId="0" fillId="0" borderId="0" xfId="0" applyAlignment="1" applyProtection="1">
      <alignment horizontal="left" vertical="top"/>
    </xf>
    <xf numFmtId="0" fontId="14" fillId="0" borderId="0" xfId="0" applyFont="1" applyProtection="1"/>
    <xf numFmtId="44" fontId="0" fillId="0" borderId="0" xfId="0" applyNumberFormat="1" applyBorder="1" applyProtection="1"/>
    <xf numFmtId="0" fontId="15" fillId="0" borderId="0" xfId="0" applyFont="1" applyAlignment="1" applyProtection="1">
      <alignment horizontal="left"/>
    </xf>
    <xf numFmtId="44" fontId="1" fillId="0" borderId="0" xfId="0" applyNumberFormat="1" applyFont="1" applyAlignment="1" applyProtection="1">
      <alignment horizontal="left"/>
    </xf>
    <xf numFmtId="0" fontId="18" fillId="0" borderId="0" xfId="0" applyFont="1"/>
    <xf numFmtId="0" fontId="19" fillId="5" borderId="10" xfId="0" applyFont="1" applyFill="1" applyBorder="1"/>
    <xf numFmtId="0" fontId="0" fillId="5" borderId="11" xfId="0" applyFill="1" applyBorder="1"/>
    <xf numFmtId="0" fontId="20" fillId="0" borderId="0" xfId="0" applyFont="1"/>
    <xf numFmtId="0" fontId="1" fillId="2" borderId="12" xfId="0" applyFont="1" applyFill="1" applyBorder="1"/>
    <xf numFmtId="0" fontId="0" fillId="2" borderId="13" xfId="0" applyFill="1" applyBorder="1"/>
    <xf numFmtId="0" fontId="20" fillId="3" borderId="12" xfId="0" applyFont="1" applyFill="1" applyBorder="1"/>
    <xf numFmtId="0" fontId="0" fillId="3" borderId="13" xfId="0" applyFill="1" applyBorder="1"/>
    <xf numFmtId="4" fontId="20" fillId="3" borderId="14" xfId="0" applyNumberFormat="1" applyFont="1" applyFill="1" applyBorder="1" applyAlignment="1">
      <alignment horizontal="left"/>
    </xf>
    <xf numFmtId="0" fontId="0" fillId="3" borderId="15" xfId="0" applyFill="1" applyBorder="1"/>
    <xf numFmtId="2" fontId="20" fillId="0" borderId="0" xfId="0" applyNumberFormat="1" applyFont="1"/>
    <xf numFmtId="4" fontId="20" fillId="0" borderId="0" xfId="0" applyNumberFormat="1" applyFont="1" applyAlignment="1">
      <alignment horizontal="left"/>
    </xf>
    <xf numFmtId="0" fontId="21" fillId="0" borderId="0" xfId="0" applyFont="1"/>
    <xf numFmtId="0" fontId="8" fillId="0" borderId="0" xfId="0" applyFont="1"/>
    <xf numFmtId="0" fontId="1" fillId="2" borderId="0" xfId="0" applyFont="1" applyFill="1"/>
    <xf numFmtId="0" fontId="0" fillId="2" borderId="0" xfId="0" applyFill="1"/>
    <xf numFmtId="0" fontId="0" fillId="3" borderId="0" xfId="0" applyFill="1"/>
    <xf numFmtId="167" fontId="0" fillId="3" borderId="0" xfId="0" applyNumberFormat="1" applyFill="1" applyAlignment="1">
      <alignment horizontal="left"/>
    </xf>
    <xf numFmtId="0" fontId="5" fillId="3" borderId="0" xfId="0" applyFont="1" applyFill="1"/>
    <xf numFmtId="0" fontId="0" fillId="4" borderId="0" xfId="0" applyFill="1"/>
    <xf numFmtId="4" fontId="0" fillId="4" borderId="0" xfId="0" applyNumberFormat="1" applyFill="1" applyAlignment="1">
      <alignment horizontal="left"/>
    </xf>
    <xf numFmtId="164" fontId="0" fillId="3" borderId="0" xfId="0" applyNumberFormat="1" applyFill="1" applyAlignment="1">
      <alignment horizontal="left"/>
    </xf>
    <xf numFmtId="0" fontId="1" fillId="3" borderId="0" xfId="0" applyFont="1" applyFill="1"/>
    <xf numFmtId="164" fontId="0" fillId="3" borderId="0" xfId="0" applyNumberFormat="1" applyFill="1"/>
    <xf numFmtId="167" fontId="3" fillId="0" borderId="0" xfId="0" applyNumberFormat="1" applyFont="1"/>
    <xf numFmtId="167" fontId="0" fillId="3" borderId="0" xfId="0" applyNumberFormat="1" applyFill="1"/>
    <xf numFmtId="0" fontId="1" fillId="4" borderId="0" xfId="0" applyFont="1" applyFill="1"/>
    <xf numFmtId="164" fontId="0" fillId="4" borderId="0" xfId="0" applyNumberFormat="1" applyFill="1"/>
    <xf numFmtId="0" fontId="3" fillId="4" borderId="0" xfId="0" applyFont="1" applyFill="1"/>
    <xf numFmtId="164" fontId="0" fillId="4" borderId="0" xfId="0" applyNumberFormat="1" applyFill="1" applyAlignment="1">
      <alignment horizontal="left"/>
    </xf>
    <xf numFmtId="165" fontId="0" fillId="4" borderId="0" xfId="0" applyNumberFormat="1" applyFill="1" applyAlignment="1">
      <alignment horizontal="left"/>
    </xf>
    <xf numFmtId="164" fontId="3" fillId="4" borderId="0" xfId="0" applyNumberFormat="1" applyFont="1" applyFill="1"/>
    <xf numFmtId="0" fontId="0" fillId="4" borderId="0" xfId="0" applyFill="1" applyAlignment="1">
      <alignment horizontal="left"/>
    </xf>
    <xf numFmtId="0" fontId="3" fillId="3" borderId="0" xfId="0" applyFont="1" applyFill="1"/>
    <xf numFmtId="164" fontId="3" fillId="3" borderId="0" xfId="0" applyNumberFormat="1" applyFont="1" applyFill="1"/>
    <xf numFmtId="0" fontId="0" fillId="3" borderId="0" xfId="0" applyFill="1" applyAlignment="1">
      <alignment horizontal="left"/>
    </xf>
    <xf numFmtId="164" fontId="1" fillId="3" borderId="0" xfId="0" applyNumberFormat="1" applyFont="1" applyFill="1"/>
    <xf numFmtId="0" fontId="8" fillId="4" borderId="0" xfId="0" applyFont="1" applyFill="1"/>
    <xf numFmtId="164" fontId="1" fillId="4" borderId="0" xfId="0" applyNumberFormat="1" applyFont="1" applyFill="1"/>
    <xf numFmtId="0" fontId="0" fillId="0" borderId="12" xfId="0" applyBorder="1"/>
    <xf numFmtId="0" fontId="6" fillId="0" borderId="0" xfId="0" applyFont="1"/>
    <xf numFmtId="0" fontId="0" fillId="0" borderId="13" xfId="0" applyBorder="1"/>
    <xf numFmtId="0" fontId="1" fillId="0" borderId="12" xfId="0" applyFont="1" applyBorder="1"/>
    <xf numFmtId="167" fontId="0" fillId="0" borderId="0" xfId="0" applyNumberFormat="1"/>
    <xf numFmtId="165" fontId="0" fillId="0" borderId="0" xfId="0" applyNumberFormat="1"/>
    <xf numFmtId="0" fontId="0" fillId="0" borderId="0" xfId="0" applyAlignment="1">
      <alignment vertical="center"/>
    </xf>
    <xf numFmtId="164" fontId="8" fillId="0" borderId="0" xfId="0" applyNumberFormat="1" applyFont="1"/>
    <xf numFmtId="168" fontId="0" fillId="0" borderId="0" xfId="0" applyNumberFormat="1"/>
    <xf numFmtId="167" fontId="1" fillId="0" borderId="0" xfId="0" applyNumberFormat="1" applyFont="1"/>
    <xf numFmtId="164" fontId="1" fillId="0" borderId="0" xfId="0" applyNumberFormat="1" applyFont="1"/>
    <xf numFmtId="0" fontId="0" fillId="0" borderId="14" xfId="0" applyBorder="1"/>
    <xf numFmtId="0" fontId="1" fillId="0" borderId="16" xfId="0" applyFont="1" applyBorder="1"/>
    <xf numFmtId="0" fontId="0" fillId="0" borderId="16" xfId="0" applyBorder="1"/>
    <xf numFmtId="0" fontId="0" fillId="0" borderId="15" xfId="0" applyBorder="1"/>
    <xf numFmtId="3" fontId="0" fillId="0" borderId="9" xfId="1" applyNumberFormat="1" applyFont="1" applyBorder="1" applyAlignment="1" applyProtection="1">
      <alignment horizontal="left" vertical="center" indent="1"/>
      <protection locked="0"/>
    </xf>
    <xf numFmtId="4" fontId="0" fillId="0" borderId="9" xfId="1" applyNumberFormat="1" applyFont="1" applyBorder="1" applyAlignment="1" applyProtection="1">
      <alignment horizontal="left" vertical="center" indent="1"/>
      <protection locked="0"/>
    </xf>
    <xf numFmtId="3" fontId="20" fillId="3" borderId="12" xfId="0" applyNumberFormat="1" applyFont="1" applyFill="1" applyBorder="1"/>
    <xf numFmtId="164" fontId="1" fillId="4" borderId="0" xfId="0" applyNumberFormat="1" applyFont="1" applyFill="1" applyBorder="1"/>
    <xf numFmtId="0" fontId="8" fillId="3" borderId="0" xfId="0" applyFont="1" applyFill="1" applyBorder="1"/>
    <xf numFmtId="0" fontId="6" fillId="0" borderId="16" xfId="0" applyFont="1" applyBorder="1"/>
    <xf numFmtId="3" fontId="0" fillId="3" borderId="0" xfId="0" applyNumberFormat="1" applyFill="1" applyBorder="1" applyProtection="1"/>
    <xf numFmtId="3" fontId="0" fillId="0" borderId="0" xfId="0" applyNumberFormat="1"/>
    <xf numFmtId="3" fontId="0" fillId="3" borderId="0" xfId="0" applyNumberFormat="1" applyFill="1"/>
    <xf numFmtId="44" fontId="0" fillId="0" borderId="0" xfId="2" applyFont="1" applyBorder="1" applyProtection="1"/>
    <xf numFmtId="3" fontId="0" fillId="4" borderId="0" xfId="0" applyNumberFormat="1" applyFill="1"/>
    <xf numFmtId="0" fontId="10" fillId="0" borderId="0" xfId="0" applyFont="1" applyAlignment="1" applyProtection="1">
      <alignment horizontal="center" vertical="center"/>
    </xf>
  </cellXfs>
  <cellStyles count="3">
    <cellStyle name="Normal" xfId="0" builtinId="0"/>
    <cellStyle name="Tusental" xfId="1" builtinId="3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B3E48-68E8-4017-B748-3EC101D32DEE}">
  <dimension ref="A1:O40"/>
  <sheetViews>
    <sheetView showGridLines="0" tabSelected="1" zoomScaleNormal="100" workbookViewId="0">
      <pane ySplit="1" topLeftCell="A2" activePane="bottomLeft" state="frozen"/>
      <selection activeCell="H5" sqref="H5"/>
      <selection pane="bottomLeft" activeCell="C6" sqref="C6"/>
    </sheetView>
  </sheetViews>
  <sheetFormatPr defaultColWidth="9.140625" defaultRowHeight="15" x14ac:dyDescent="0.25"/>
  <cols>
    <col min="1" max="1" width="9.140625" style="13"/>
    <col min="2" max="2" width="4.28515625" style="13" customWidth="1"/>
    <col min="3" max="3" width="63" style="13" customWidth="1"/>
    <col min="4" max="4" width="9.140625" style="66"/>
    <col min="5" max="5" width="5.140625" style="13" customWidth="1"/>
    <col min="6" max="6" width="4.28515625" style="13" customWidth="1"/>
    <col min="7" max="7" width="29.140625" style="13" bestFit="1" customWidth="1"/>
    <col min="8" max="10" width="9.140625" style="13"/>
    <col min="11" max="11" width="17.5703125" style="13" customWidth="1"/>
    <col min="12" max="12" width="28.5703125" style="13" customWidth="1"/>
    <col min="13" max="13" width="16.7109375" style="78" customWidth="1"/>
    <col min="14" max="14" width="14.42578125" style="13" bestFit="1" customWidth="1"/>
    <col min="15" max="15" width="13.7109375" style="13" bestFit="1" customWidth="1"/>
    <col min="16" max="16384" width="9.140625" style="13"/>
  </cols>
  <sheetData>
    <row r="1" spans="1:15" s="61" customFormat="1" x14ac:dyDescent="0.25">
      <c r="A1" s="60"/>
      <c r="C1" s="149" t="s">
        <v>48</v>
      </c>
      <c r="D1" s="149"/>
      <c r="E1" s="149"/>
      <c r="F1" s="149"/>
      <c r="G1" s="149"/>
      <c r="H1" s="149"/>
      <c r="I1" s="149"/>
      <c r="J1" s="149"/>
      <c r="K1" s="149"/>
      <c r="L1" s="149"/>
      <c r="M1" s="149"/>
    </row>
    <row r="2" spans="1:15" s="61" customFormat="1" x14ac:dyDescent="0.25">
      <c r="A2" s="60"/>
      <c r="D2" s="62"/>
    </row>
    <row r="3" spans="1:15" s="61" customFormat="1" ht="23.25" x14ac:dyDescent="0.35">
      <c r="A3" s="60"/>
      <c r="C3" s="63" t="s">
        <v>51</v>
      </c>
      <c r="D3" s="62"/>
      <c r="F3" s="13"/>
      <c r="G3" s="63" t="s">
        <v>50</v>
      </c>
      <c r="L3" s="64" t="s">
        <v>46</v>
      </c>
    </row>
    <row r="4" spans="1:15" s="61" customFormat="1" ht="21" x14ac:dyDescent="0.35">
      <c r="A4" s="60"/>
      <c r="C4" s="65"/>
      <c r="D4" s="62"/>
      <c r="F4" s="13"/>
      <c r="G4" s="13"/>
      <c r="L4" s="64"/>
    </row>
    <row r="5" spans="1:15" ht="16.5" x14ac:dyDescent="0.25">
      <c r="C5" s="65" t="s">
        <v>49</v>
      </c>
      <c r="G5" s="65" t="s">
        <v>7</v>
      </c>
      <c r="H5" s="67" t="b">
        <v>0</v>
      </c>
      <c r="L5" s="68" t="s">
        <v>57</v>
      </c>
      <c r="M5" s="69">
        <f>LaserBeräkning!B11</f>
        <v>0</v>
      </c>
    </row>
    <row r="6" spans="1:15" ht="16.5" x14ac:dyDescent="0.25">
      <c r="C6" s="138" t="s">
        <v>54</v>
      </c>
      <c r="G6" s="139">
        <v>0</v>
      </c>
      <c r="H6" s="70"/>
      <c r="L6" s="58" t="s">
        <v>56</v>
      </c>
      <c r="M6" s="71">
        <f>LaserBeräkning!C15</f>
        <v>12.5</v>
      </c>
    </row>
    <row r="7" spans="1:15" x14ac:dyDescent="0.25">
      <c r="C7" s="72"/>
      <c r="L7" s="65" t="s">
        <v>8</v>
      </c>
      <c r="M7" s="73">
        <f>LaserBeräkning!E20</f>
        <v>0</v>
      </c>
    </row>
    <row r="8" spans="1:15" ht="18" customHeight="1" x14ac:dyDescent="0.25">
      <c r="C8" s="65" t="s">
        <v>52</v>
      </c>
      <c r="H8" s="66"/>
      <c r="M8" s="74"/>
      <c r="N8" s="75"/>
    </row>
    <row r="9" spans="1:15" x14ac:dyDescent="0.25">
      <c r="C9" s="138" t="s">
        <v>27</v>
      </c>
      <c r="D9" s="66" t="s">
        <v>55</v>
      </c>
      <c r="H9" s="70"/>
      <c r="L9" s="13" t="s">
        <v>47</v>
      </c>
      <c r="M9" s="76">
        <f>LaserBeräkning!E22+LaserBeräkning!E25</f>
        <v>0</v>
      </c>
      <c r="O9" s="75"/>
    </row>
    <row r="10" spans="1:15" x14ac:dyDescent="0.25">
      <c r="C10" s="72"/>
      <c r="L10" s="58" t="s">
        <v>14</v>
      </c>
      <c r="M10" s="77">
        <f>LaserBeräkning!E28</f>
        <v>0</v>
      </c>
    </row>
    <row r="11" spans="1:15" ht="18" customHeight="1" x14ac:dyDescent="0.25">
      <c r="C11" s="65" t="s">
        <v>53</v>
      </c>
      <c r="H11" s="67" t="b">
        <v>1</v>
      </c>
      <c r="L11" s="65" t="s">
        <v>102</v>
      </c>
      <c r="M11" s="73">
        <f>SUM(M7:M10)</f>
        <v>0</v>
      </c>
    </row>
    <row r="12" spans="1:15" x14ac:dyDescent="0.25">
      <c r="C12" s="138" t="s">
        <v>19</v>
      </c>
      <c r="H12" s="66"/>
    </row>
    <row r="13" spans="1:15" x14ac:dyDescent="0.25">
      <c r="H13" s="70"/>
      <c r="L13" s="51" t="str">
        <f>IF(M13&gt;0,"Tillägg för koncernlicens","Rabatt för användarkategori")</f>
        <v>Rabatt för användarkategori</v>
      </c>
      <c r="M13" s="147">
        <f>LaserBeräkning!E30</f>
        <v>0</v>
      </c>
    </row>
    <row r="14" spans="1:15" x14ac:dyDescent="0.25">
      <c r="C14" s="65"/>
      <c r="H14" s="66"/>
      <c r="L14" s="58" t="s">
        <v>60</v>
      </c>
      <c r="M14" s="77">
        <f>LaserBeräkning!E33</f>
        <v>0</v>
      </c>
    </row>
    <row r="15" spans="1:15" x14ac:dyDescent="0.25">
      <c r="D15" s="67" t="b">
        <v>0</v>
      </c>
      <c r="H15" s="67"/>
      <c r="L15" s="65" t="s">
        <v>59</v>
      </c>
      <c r="M15" s="73">
        <f>SUM(M11:M14)</f>
        <v>0</v>
      </c>
    </row>
    <row r="16" spans="1:15" x14ac:dyDescent="0.25">
      <c r="C16" s="78"/>
      <c r="D16" s="67" t="b">
        <v>1</v>
      </c>
      <c r="M16" s="13"/>
    </row>
    <row r="17" spans="3:13" x14ac:dyDescent="0.25">
      <c r="C17" s="78"/>
      <c r="D17" s="67" t="b">
        <v>0</v>
      </c>
      <c r="H17" s="70"/>
      <c r="M17" s="13"/>
    </row>
    <row r="18" spans="3:13" ht="18.75" x14ac:dyDescent="0.3">
      <c r="C18" s="79"/>
      <c r="D18" s="67" t="b">
        <v>0</v>
      </c>
      <c r="L18" s="80"/>
      <c r="M18" s="13"/>
    </row>
    <row r="19" spans="3:13" x14ac:dyDescent="0.25">
      <c r="L19" s="51"/>
      <c r="M19" s="81"/>
    </row>
    <row r="20" spans="3:13" x14ac:dyDescent="0.25">
      <c r="L20"/>
      <c r="M20"/>
    </row>
    <row r="21" spans="3:13" ht="15.75" x14ac:dyDescent="0.25">
      <c r="L21" s="82"/>
      <c r="M21" s="83"/>
    </row>
    <row r="24" spans="3:13" x14ac:dyDescent="0.25">
      <c r="M24" s="13"/>
    </row>
    <row r="25" spans="3:13" x14ac:dyDescent="0.25">
      <c r="M25" s="13"/>
    </row>
    <row r="26" spans="3:13" x14ac:dyDescent="0.25">
      <c r="M26" s="13"/>
    </row>
    <row r="27" spans="3:13" x14ac:dyDescent="0.25">
      <c r="M27" s="13"/>
    </row>
    <row r="40" spans="3:13" s="66" customFormat="1" x14ac:dyDescent="0.25">
      <c r="C40" s="65"/>
      <c r="E40" s="13"/>
      <c r="F40" s="13"/>
      <c r="G40" s="13"/>
      <c r="H40" s="13"/>
      <c r="I40" s="13"/>
      <c r="J40" s="13"/>
      <c r="K40" s="13"/>
      <c r="L40" s="13"/>
      <c r="M40" s="78"/>
    </row>
  </sheetData>
  <sheetProtection sheet="1" selectLockedCells="1" sort="0" autoFilter="0"/>
  <mergeCells count="1">
    <mergeCell ref="C1:M1"/>
  </mergeCells>
  <dataValidations count="2">
    <dataValidation type="whole" operator="greaterThan" allowBlank="1" showInputMessage="1" showErrorMessage="1" sqref="G9 C7 C10 G17 G13:G14" xr:uid="{6774A041-299C-4EF4-B889-8CBD9DD5CC73}">
      <formula1>-1</formula1>
    </dataValidation>
    <dataValidation type="list" operator="greaterThan" allowBlank="1" showErrorMessage="1" prompt="För beräkning av avgift för visningtjänster, se bladet &quot;Visningstjänster&quot;" sqref="C6" xr:uid="{B6BDD9AC-6C9C-433D-9ACF-EB41D984F892}">
      <mc:AlternateContent xmlns:x12ac="http://schemas.microsoft.com/office/spreadsheetml/2011/1/ac" xmlns:mc="http://schemas.openxmlformats.org/markup-compatibility/2006">
        <mc:Choice Requires="x12ac">
          <x12ac:list>"Laserdata Nedladdning, NH"</x12ac:list>
        </mc:Choice>
        <mc:Fallback>
          <formula1>"Laserdata Nedladdning, NH"</formula1>
        </mc:Fallback>
      </mc:AlternateContent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greaterThan" allowBlank="1" showInputMessage="1" showErrorMessage="1" xr:uid="{55414E0F-FBC1-4FF9-AAC7-F24CEDB5E2D0}">
          <x14:formula1>
            <xm:f>LaserBeräkning!$B$57:$B$74</xm:f>
          </x14:formula1>
          <xm:sqref>C9</xm:sqref>
        </x14:dataValidation>
        <x14:dataValidation type="list" operator="greaterThan" allowBlank="1" showInputMessage="1" showErrorMessage="1" xr:uid="{54BE24A9-A751-479A-BF9D-72B1B32864EC}">
          <x14:formula1>
            <xm:f>LaserBeräkning!$B$49:$B$50</xm:f>
          </x14:formula1>
          <xm:sqref>C12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81235-85ED-406B-B58A-8FFBA31A4F01}">
  <dimension ref="A2:X77"/>
  <sheetViews>
    <sheetView zoomScale="90" zoomScaleNormal="90" workbookViewId="0">
      <selection activeCell="E34" sqref="E34"/>
    </sheetView>
  </sheetViews>
  <sheetFormatPr defaultColWidth="9.140625" defaultRowHeight="15" x14ac:dyDescent="0.25"/>
  <cols>
    <col min="1" max="1" width="7.5703125" style="13" bestFit="1" customWidth="1"/>
    <col min="2" max="2" width="48.42578125" style="13" customWidth="1"/>
    <col min="3" max="3" width="14.140625" style="13" bestFit="1" customWidth="1"/>
    <col min="4" max="4" width="17.42578125" style="13" bestFit="1" customWidth="1"/>
    <col min="5" max="5" width="14.85546875" style="13" bestFit="1" customWidth="1"/>
    <col min="6" max="6" width="12.140625" style="13" bestFit="1" customWidth="1"/>
    <col min="7" max="7" width="14.140625" style="13" bestFit="1" customWidth="1"/>
    <col min="8" max="15" width="9.140625" style="13"/>
    <col min="16" max="16" width="13.28515625" style="13" bestFit="1" customWidth="1"/>
    <col min="17" max="16384" width="9.140625" style="13"/>
  </cols>
  <sheetData>
    <row r="2" spans="1:6" x14ac:dyDescent="0.25">
      <c r="A2" s="10"/>
      <c r="B2" s="11"/>
      <c r="C2" s="11"/>
      <c r="D2" s="11"/>
      <c r="E2" s="11"/>
      <c r="F2" s="12"/>
    </row>
    <row r="3" spans="1:6" x14ac:dyDescent="0.25">
      <c r="A3" s="14"/>
      <c r="B3" s="15"/>
      <c r="C3" s="16"/>
      <c r="D3" s="16"/>
      <c r="E3" s="16"/>
      <c r="F3" s="17"/>
    </row>
    <row r="4" spans="1:6" x14ac:dyDescent="0.25">
      <c r="A4" s="14"/>
      <c r="B4" s="18" t="s">
        <v>0</v>
      </c>
      <c r="C4" s="19"/>
      <c r="D4" s="19"/>
      <c r="E4" s="19"/>
      <c r="F4" s="17"/>
    </row>
    <row r="5" spans="1:6" x14ac:dyDescent="0.25">
      <c r="A5" s="14"/>
      <c r="B5" s="20" t="str">
        <f>'Laserdata NH'!C12</f>
        <v>Engångsuttag</v>
      </c>
      <c r="C5" s="21"/>
      <c r="D5" s="21"/>
      <c r="E5" s="21"/>
      <c r="F5" s="17"/>
    </row>
    <row r="6" spans="1:6" x14ac:dyDescent="0.25">
      <c r="A6" s="14"/>
      <c r="B6" s="18" t="s">
        <v>2</v>
      </c>
      <c r="C6" s="19"/>
      <c r="D6" s="19"/>
      <c r="E6" s="19"/>
      <c r="F6" s="17"/>
    </row>
    <row r="7" spans="1:6" x14ac:dyDescent="0.25">
      <c r="A7" s="14"/>
      <c r="B7" s="22" t="s">
        <v>21</v>
      </c>
      <c r="C7" s="21"/>
      <c r="D7" s="21"/>
      <c r="E7" s="21"/>
      <c r="F7" s="17"/>
    </row>
    <row r="8" spans="1:6" x14ac:dyDescent="0.25">
      <c r="A8" s="14"/>
      <c r="B8" s="18" t="s">
        <v>3</v>
      </c>
      <c r="C8" s="19"/>
      <c r="D8" s="19"/>
      <c r="E8" s="19"/>
      <c r="F8" s="17"/>
    </row>
    <row r="9" spans="1:6" x14ac:dyDescent="0.25">
      <c r="A9" s="14"/>
      <c r="B9" s="20" t="str">
        <f>'Laserdata NH'!C9</f>
        <v>Kommersiell slutanvändning</v>
      </c>
      <c r="C9" s="21"/>
      <c r="D9" s="21"/>
      <c r="E9" s="21"/>
      <c r="F9" s="17"/>
    </row>
    <row r="10" spans="1:6" x14ac:dyDescent="0.25">
      <c r="A10" s="14"/>
      <c r="B10" s="18" t="s">
        <v>7</v>
      </c>
      <c r="C10" s="19"/>
      <c r="D10" s="19"/>
      <c r="E10" s="19"/>
      <c r="F10" s="17"/>
    </row>
    <row r="11" spans="1:6" x14ac:dyDescent="0.25">
      <c r="A11" s="14"/>
      <c r="B11" s="23">
        <f>'Laserdata NH'!G6</f>
        <v>0</v>
      </c>
      <c r="C11" s="21"/>
      <c r="D11" s="21"/>
      <c r="E11" s="21"/>
      <c r="F11" s="17"/>
    </row>
    <row r="12" spans="1:6" x14ac:dyDescent="0.25">
      <c r="A12" s="14"/>
      <c r="B12" s="16"/>
      <c r="C12" s="16"/>
      <c r="D12" s="16"/>
      <c r="E12" s="16"/>
      <c r="F12" s="17"/>
    </row>
    <row r="13" spans="1:6" x14ac:dyDescent="0.25">
      <c r="A13" s="14"/>
      <c r="B13" s="18" t="s">
        <v>4</v>
      </c>
      <c r="C13" s="19"/>
      <c r="D13" s="19"/>
      <c r="E13" s="19"/>
      <c r="F13" s="17"/>
    </row>
    <row r="14" spans="1:6" x14ac:dyDescent="0.25">
      <c r="A14" s="14"/>
      <c r="B14" s="18" t="s">
        <v>5</v>
      </c>
      <c r="C14" s="19"/>
      <c r="D14" s="19"/>
      <c r="E14" s="19"/>
      <c r="F14" s="17"/>
    </row>
    <row r="15" spans="1:6" x14ac:dyDescent="0.25">
      <c r="A15" s="14"/>
      <c r="B15" s="21" t="s">
        <v>6</v>
      </c>
      <c r="C15" s="24">
        <f>IF(B5=B49,C49,C50)</f>
        <v>12.5</v>
      </c>
      <c r="D15" s="21"/>
      <c r="E15" s="21"/>
      <c r="F15" s="17"/>
    </row>
    <row r="16" spans="1:6" x14ac:dyDescent="0.25">
      <c r="A16" s="14"/>
      <c r="B16" s="25" t="s">
        <v>7</v>
      </c>
      <c r="C16" s="26">
        <f>B11</f>
        <v>0</v>
      </c>
      <c r="D16" s="25"/>
      <c r="E16" s="25"/>
      <c r="F16" s="17"/>
    </row>
    <row r="17" spans="1:24" x14ac:dyDescent="0.25">
      <c r="A17" s="14"/>
      <c r="B17" s="21" t="s">
        <v>20</v>
      </c>
      <c r="C17" s="24">
        <f>IF(B5=B49,G49,G50)</f>
        <v>2200000</v>
      </c>
      <c r="D17" s="21"/>
      <c r="E17" s="21"/>
      <c r="F17" s="17"/>
    </row>
    <row r="18" spans="1:24" x14ac:dyDescent="0.25">
      <c r="A18" s="14"/>
      <c r="B18" s="19"/>
      <c r="C18" s="19"/>
      <c r="D18" s="19"/>
      <c r="E18" s="19"/>
      <c r="F18" s="17"/>
    </row>
    <row r="19" spans="1:24" x14ac:dyDescent="0.25">
      <c r="A19" s="14"/>
      <c r="B19" s="18" t="s">
        <v>45</v>
      </c>
      <c r="C19" s="19"/>
      <c r="D19" s="19"/>
      <c r="E19" s="19"/>
      <c r="F19" s="17"/>
      <c r="G19" s="27" t="s">
        <v>44</v>
      </c>
    </row>
    <row r="20" spans="1:24" x14ac:dyDescent="0.25">
      <c r="A20" s="14"/>
      <c r="B20" s="28" t="s">
        <v>8</v>
      </c>
      <c r="C20" s="21"/>
      <c r="D20" s="21"/>
      <c r="E20" s="24">
        <f>C15*C16</f>
        <v>0</v>
      </c>
      <c r="F20" s="17"/>
      <c r="G20" s="29">
        <f>E20</f>
        <v>0</v>
      </c>
    </row>
    <row r="21" spans="1:24" x14ac:dyDescent="0.25">
      <c r="A21" s="14"/>
      <c r="B21" s="21" t="s">
        <v>9</v>
      </c>
      <c r="C21" s="21"/>
      <c r="D21" s="21"/>
      <c r="E21" s="24"/>
      <c r="F21" s="17"/>
      <c r="G21" s="27"/>
    </row>
    <row r="22" spans="1:24" x14ac:dyDescent="0.25">
      <c r="A22" s="14"/>
      <c r="B22" s="30" t="s">
        <v>10</v>
      </c>
      <c r="C22" s="31"/>
      <c r="D22" s="32" t="s">
        <v>43</v>
      </c>
      <c r="E22" s="33">
        <f>(1-C24)*D23*(-1)</f>
        <v>0</v>
      </c>
      <c r="F22" s="17"/>
      <c r="G22" s="29">
        <f>SUM(E20,E22)</f>
        <v>0</v>
      </c>
    </row>
    <row r="23" spans="1:24" x14ac:dyDescent="0.25">
      <c r="A23" s="14"/>
      <c r="B23" s="34">
        <f>IF(B5=B49,D49,D50)</f>
        <v>1</v>
      </c>
      <c r="C23" s="35">
        <f>IF(B5=B49,E49,E50)</f>
        <v>1000000</v>
      </c>
      <c r="D23" s="36">
        <f>IF(E21-D26&gt;0,E21-D26,0)</f>
        <v>0</v>
      </c>
      <c r="E23" s="37"/>
      <c r="F23" s="17"/>
      <c r="G23" s="27"/>
    </row>
    <row r="24" spans="1:24" x14ac:dyDescent="0.25">
      <c r="A24" s="14"/>
      <c r="B24" s="25" t="s">
        <v>11</v>
      </c>
      <c r="C24" s="31">
        <v>1</v>
      </c>
      <c r="D24" s="32"/>
      <c r="E24" s="25"/>
      <c r="F24" s="17"/>
      <c r="G24" s="27"/>
      <c r="L24"/>
      <c r="M24"/>
      <c r="N24"/>
      <c r="O24"/>
      <c r="P24"/>
      <c r="Q24"/>
      <c r="R24"/>
      <c r="S24"/>
      <c r="T24"/>
      <c r="U24"/>
      <c r="V24"/>
      <c r="W24"/>
      <c r="X24"/>
    </row>
    <row r="25" spans="1:24" x14ac:dyDescent="0.25">
      <c r="A25" s="14"/>
      <c r="B25" s="28" t="s">
        <v>12</v>
      </c>
      <c r="C25" s="38"/>
      <c r="D25" s="39"/>
      <c r="E25" s="24">
        <f>(1-C27)*D26*(-1)</f>
        <v>0</v>
      </c>
      <c r="F25" s="17"/>
      <c r="G25" s="29">
        <f>SUM(E20,E22,E25)</f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1:24" x14ac:dyDescent="0.25">
      <c r="A26" s="14"/>
      <c r="B26" s="40">
        <f>IF(B5=B49,F49,F50)</f>
        <v>1000001</v>
      </c>
      <c r="C26" s="38"/>
      <c r="D26" s="41">
        <f>IF(E20&gt;C23,E20-C23,0)</f>
        <v>0</v>
      </c>
      <c r="E26" s="24"/>
      <c r="F26" s="17"/>
      <c r="G26" s="27"/>
      <c r="L26"/>
      <c r="M26"/>
      <c r="N26"/>
      <c r="O26"/>
      <c r="P26"/>
      <c r="Q26"/>
      <c r="R26"/>
      <c r="S26"/>
      <c r="T26"/>
      <c r="U26"/>
      <c r="V26"/>
      <c r="W26"/>
      <c r="X26"/>
    </row>
    <row r="27" spans="1:24" x14ac:dyDescent="0.25">
      <c r="A27" s="14"/>
      <c r="B27" s="21" t="s">
        <v>11</v>
      </c>
      <c r="C27" s="38">
        <v>0.5</v>
      </c>
      <c r="D27" s="21"/>
      <c r="E27" s="21"/>
      <c r="F27" s="17"/>
      <c r="G27" s="27"/>
      <c r="L27"/>
      <c r="M27"/>
      <c r="N27"/>
      <c r="O27"/>
      <c r="P27"/>
      <c r="Q27"/>
      <c r="R27"/>
      <c r="S27"/>
      <c r="T27"/>
      <c r="U27"/>
      <c r="V27"/>
      <c r="W27"/>
      <c r="X27"/>
    </row>
    <row r="28" spans="1:24" x14ac:dyDescent="0.25">
      <c r="A28" s="14"/>
      <c r="B28" s="30" t="s">
        <v>14</v>
      </c>
      <c r="C28" s="31"/>
      <c r="D28" s="25"/>
      <c r="E28" s="33">
        <f>0-B29</f>
        <v>0</v>
      </c>
      <c r="F28" s="17"/>
      <c r="G28" s="29">
        <f>C17-G25</f>
        <v>2200000</v>
      </c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1:24" x14ac:dyDescent="0.25">
      <c r="A29" s="14"/>
      <c r="B29" s="35">
        <f>IF(G25-C17&gt;0,G25-C17,0)</f>
        <v>0</v>
      </c>
      <c r="C29" s="31"/>
      <c r="D29" s="25"/>
      <c r="E29" s="33"/>
      <c r="F29" s="17"/>
      <c r="G29" s="27"/>
      <c r="L29"/>
      <c r="M29"/>
      <c r="N29"/>
      <c r="O29"/>
      <c r="P29"/>
      <c r="Q29"/>
      <c r="R29"/>
      <c r="S29"/>
      <c r="T29"/>
      <c r="U29"/>
      <c r="V29"/>
      <c r="W29"/>
      <c r="X29"/>
    </row>
    <row r="30" spans="1:24" x14ac:dyDescent="0.25">
      <c r="A30" s="14"/>
      <c r="B30" s="28" t="s">
        <v>13</v>
      </c>
      <c r="C30" s="38"/>
      <c r="D30" s="21"/>
      <c r="E30" s="24">
        <f>SUM(E20,E22,E25,E28)*C32-SUM(E20,E22,E25,E28)</f>
        <v>0</v>
      </c>
      <c r="F30" s="17"/>
      <c r="G30" s="29">
        <f>SUM(E20,E22,E25,E28,E30)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</row>
    <row r="31" spans="1:24" x14ac:dyDescent="0.25">
      <c r="A31" s="14"/>
      <c r="B31" s="144" t="str">
        <f>B9</f>
        <v>Kommersiell slutanvändning</v>
      </c>
      <c r="C31" s="38"/>
      <c r="D31" s="21"/>
      <c r="E31" s="21"/>
      <c r="F31" s="17"/>
      <c r="G31" s="27"/>
      <c r="L31"/>
      <c r="M31"/>
      <c r="N31"/>
      <c r="O31"/>
      <c r="P31"/>
      <c r="Q31"/>
      <c r="R31"/>
      <c r="S31"/>
      <c r="T31"/>
      <c r="U31"/>
      <c r="V31"/>
      <c r="W31"/>
      <c r="X31"/>
    </row>
    <row r="32" spans="1:24" x14ac:dyDescent="0.25">
      <c r="A32" s="14"/>
      <c r="B32" s="21" t="s">
        <v>11</v>
      </c>
      <c r="C32" s="38">
        <f>D76</f>
        <v>1</v>
      </c>
      <c r="D32" s="21"/>
      <c r="E32" s="21"/>
      <c r="F32" s="17"/>
      <c r="G32" s="27"/>
      <c r="L32"/>
      <c r="M32"/>
      <c r="N32"/>
      <c r="O32"/>
      <c r="P32"/>
      <c r="Q32"/>
      <c r="R32"/>
      <c r="S32"/>
      <c r="T32"/>
      <c r="U32"/>
      <c r="V32"/>
      <c r="W32"/>
      <c r="X32"/>
    </row>
    <row r="33" spans="1:24" x14ac:dyDescent="0.25">
      <c r="A33" s="14"/>
      <c r="B33" s="30" t="s">
        <v>13</v>
      </c>
      <c r="C33" s="31"/>
      <c r="D33" s="25"/>
      <c r="E33" s="33">
        <f>SUM(E20,E22,E25,E28,E30)*C35-SUM(E20,E22,E25,E28,E30)</f>
        <v>0</v>
      </c>
      <c r="F33" s="17"/>
      <c r="G33" s="29">
        <f>SUM(E20,E22,E25,E28,E30,E33)</f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</row>
    <row r="34" spans="1:24" x14ac:dyDescent="0.25">
      <c r="A34" s="14"/>
      <c r="B34" s="25" t="str">
        <f>IF(B7=B53,B52,B54)</f>
        <v>Kommersiell vidareförädling</v>
      </c>
      <c r="C34" s="31"/>
      <c r="D34" s="25"/>
      <c r="E34" s="25"/>
      <c r="F34" s="17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1:24" x14ac:dyDescent="0.25">
      <c r="A35" s="14"/>
      <c r="B35" s="25" t="s">
        <v>11</v>
      </c>
      <c r="C35" s="31">
        <f>IF(B7=B53,C53,C54)</f>
        <v>0.95</v>
      </c>
      <c r="D35" s="25"/>
      <c r="E35" s="25"/>
      <c r="F35" s="17"/>
      <c r="L35"/>
      <c r="M35"/>
      <c r="N35"/>
      <c r="O35"/>
      <c r="P35"/>
      <c r="Q35"/>
      <c r="R35"/>
      <c r="S35"/>
      <c r="T35"/>
      <c r="U35"/>
      <c r="V35"/>
      <c r="W35"/>
      <c r="X35"/>
    </row>
    <row r="36" spans="1:24" x14ac:dyDescent="0.25">
      <c r="A36" s="14"/>
      <c r="B36" s="28" t="s">
        <v>15</v>
      </c>
      <c r="C36" s="21"/>
      <c r="D36" s="21"/>
      <c r="E36" s="24">
        <f>ROUND(SUM(E20,E22,E25,E28,E30,E33),2)</f>
        <v>0</v>
      </c>
      <c r="F36" s="17"/>
      <c r="L36"/>
      <c r="M36"/>
      <c r="N36"/>
      <c r="O36"/>
      <c r="P36"/>
      <c r="Q36"/>
      <c r="R36"/>
      <c r="S36"/>
      <c r="T36"/>
      <c r="U36"/>
      <c r="V36"/>
      <c r="W36"/>
      <c r="X36"/>
    </row>
    <row r="37" spans="1:24" x14ac:dyDescent="0.25">
      <c r="A37" s="14"/>
      <c r="B37" s="25" t="s">
        <v>16</v>
      </c>
      <c r="C37" s="25"/>
      <c r="D37" s="25"/>
      <c r="E37" s="33">
        <f>E36*0.06</f>
        <v>0</v>
      </c>
      <c r="F37" s="1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24" x14ac:dyDescent="0.25">
      <c r="A38" s="14"/>
      <c r="B38" s="28" t="s">
        <v>17</v>
      </c>
      <c r="C38" s="21"/>
      <c r="D38" s="21"/>
      <c r="E38" s="24">
        <f>SUM(E36,E37)</f>
        <v>0</v>
      </c>
      <c r="F38" s="17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1:24" x14ac:dyDescent="0.25">
      <c r="A39" s="14"/>
      <c r="B39" s="18" t="s">
        <v>18</v>
      </c>
      <c r="C39" s="19"/>
      <c r="D39" s="19"/>
      <c r="E39" s="42">
        <f>IF(B7=B53,0,E38)</f>
        <v>0</v>
      </c>
      <c r="F39" s="17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1:24" x14ac:dyDescent="0.25">
      <c r="A40" s="14"/>
      <c r="B40" s="16"/>
      <c r="C40" s="16"/>
      <c r="D40" s="16"/>
      <c r="E40" s="16"/>
      <c r="F40" s="17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1:24" x14ac:dyDescent="0.25">
      <c r="A41" s="43"/>
      <c r="B41" s="44"/>
      <c r="C41" s="44"/>
      <c r="D41" s="44"/>
      <c r="E41" s="44"/>
      <c r="F41" s="45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1:24" x14ac:dyDescent="0.25">
      <c r="L42"/>
      <c r="M42"/>
      <c r="N42"/>
      <c r="O42"/>
      <c r="P42"/>
      <c r="Q42"/>
      <c r="R42"/>
      <c r="S42"/>
      <c r="T42"/>
      <c r="U42"/>
      <c r="V42"/>
      <c r="W42"/>
      <c r="X42"/>
    </row>
    <row r="43" spans="1:24" x14ac:dyDescent="0.25">
      <c r="L43"/>
      <c r="M43"/>
      <c r="N43"/>
      <c r="O43"/>
      <c r="P43"/>
      <c r="Q43"/>
      <c r="R43"/>
      <c r="S43"/>
      <c r="T43"/>
      <c r="U43"/>
      <c r="V43"/>
      <c r="W43"/>
      <c r="X43"/>
    </row>
    <row r="45" spans="1:24" x14ac:dyDescent="0.25">
      <c r="A45" s="46"/>
      <c r="B45" s="47"/>
      <c r="C45" s="47"/>
      <c r="D45" s="47"/>
      <c r="E45" s="47"/>
      <c r="F45" s="47"/>
      <c r="G45" s="47"/>
      <c r="H45" s="48"/>
    </row>
    <row r="46" spans="1:24" x14ac:dyDescent="0.25">
      <c r="A46" s="49"/>
      <c r="B46" s="50"/>
      <c r="C46" s="51"/>
      <c r="D46" s="51"/>
      <c r="E46" s="51"/>
      <c r="F46" s="51"/>
      <c r="G46" s="51"/>
      <c r="H46" s="52"/>
    </row>
    <row r="47" spans="1:24" x14ac:dyDescent="0.25">
      <c r="A47" s="49"/>
      <c r="B47" s="51"/>
      <c r="C47" s="51"/>
      <c r="D47" s="51"/>
      <c r="E47" s="51"/>
      <c r="F47" s="51"/>
      <c r="G47" s="51"/>
      <c r="H47" s="52"/>
    </row>
    <row r="48" spans="1:24" x14ac:dyDescent="0.25">
      <c r="A48" s="49"/>
      <c r="B48" s="53" t="s">
        <v>0</v>
      </c>
      <c r="C48" s="53" t="s">
        <v>6</v>
      </c>
      <c r="D48" s="53" t="s">
        <v>10</v>
      </c>
      <c r="E48" s="53"/>
      <c r="F48" s="53" t="s">
        <v>12</v>
      </c>
      <c r="G48" s="53" t="s">
        <v>20</v>
      </c>
      <c r="H48" s="52"/>
    </row>
    <row r="49" spans="1:8" x14ac:dyDescent="0.25">
      <c r="A49" s="49"/>
      <c r="B49" s="51" t="s">
        <v>19</v>
      </c>
      <c r="C49" s="54">
        <v>12.5</v>
      </c>
      <c r="D49" s="55">
        <v>1</v>
      </c>
      <c r="E49" s="55">
        <v>1000000</v>
      </c>
      <c r="F49" s="55">
        <v>1000001</v>
      </c>
      <c r="G49" s="54">
        <v>2200000</v>
      </c>
      <c r="H49" s="52"/>
    </row>
    <row r="50" spans="1:8" x14ac:dyDescent="0.25">
      <c r="A50" s="49"/>
      <c r="B50" s="51" t="s">
        <v>58</v>
      </c>
      <c r="C50" s="54">
        <v>2.5</v>
      </c>
      <c r="D50" s="55">
        <v>1</v>
      </c>
      <c r="E50" s="55">
        <v>200000</v>
      </c>
      <c r="F50" s="55">
        <v>200001</v>
      </c>
      <c r="G50" s="54">
        <v>440000</v>
      </c>
      <c r="H50" s="52"/>
    </row>
    <row r="51" spans="1:8" x14ac:dyDescent="0.25">
      <c r="A51" s="49"/>
      <c r="B51" s="51"/>
      <c r="C51" s="51"/>
      <c r="D51" s="51"/>
      <c r="E51" s="51"/>
      <c r="F51" s="51"/>
      <c r="G51" s="51"/>
      <c r="H51" s="52"/>
    </row>
    <row r="52" spans="1:8" x14ac:dyDescent="0.25">
      <c r="A52" s="49"/>
      <c r="B52" s="53" t="s">
        <v>1</v>
      </c>
      <c r="C52" s="53" t="s">
        <v>11</v>
      </c>
      <c r="D52" s="51"/>
      <c r="E52" s="51"/>
      <c r="F52" s="51"/>
      <c r="G52" s="51"/>
      <c r="H52" s="52"/>
    </row>
    <row r="53" spans="1:8" x14ac:dyDescent="0.25">
      <c r="A53" s="49"/>
      <c r="B53" s="51" t="s">
        <v>21</v>
      </c>
      <c r="C53" s="51">
        <v>0.95</v>
      </c>
      <c r="D53" s="51"/>
      <c r="E53" s="51"/>
      <c r="F53" s="51"/>
      <c r="G53" s="51"/>
      <c r="H53" s="52"/>
    </row>
    <row r="54" spans="1:8" x14ac:dyDescent="0.25">
      <c r="A54" s="49"/>
      <c r="B54" s="51" t="s">
        <v>22</v>
      </c>
      <c r="C54" s="51">
        <v>1</v>
      </c>
      <c r="D54" s="51"/>
      <c r="E54" s="51"/>
      <c r="F54" s="51"/>
      <c r="G54" s="51"/>
      <c r="H54" s="52"/>
    </row>
    <row r="55" spans="1:8" x14ac:dyDescent="0.25">
      <c r="A55" s="49"/>
      <c r="B55" s="51"/>
      <c r="C55" s="51"/>
      <c r="D55" s="51"/>
      <c r="E55" s="51"/>
      <c r="F55" s="51"/>
      <c r="G55" s="51"/>
      <c r="H55" s="52"/>
    </row>
    <row r="56" spans="1:8" x14ac:dyDescent="0.25">
      <c r="A56" s="56" t="s">
        <v>42</v>
      </c>
      <c r="B56" s="18" t="s">
        <v>3</v>
      </c>
      <c r="C56" s="18" t="s">
        <v>11</v>
      </c>
      <c r="D56" s="18" t="s">
        <v>41</v>
      </c>
      <c r="E56" s="51"/>
      <c r="F56" s="51"/>
      <c r="G56" s="51"/>
      <c r="H56" s="52"/>
    </row>
    <row r="57" spans="1:8" x14ac:dyDescent="0.25">
      <c r="A57" s="49">
        <f>IF(B9=B57,1,0)</f>
        <v>0</v>
      </c>
      <c r="B57" s="51" t="s">
        <v>23</v>
      </c>
      <c r="C57" s="51">
        <v>0</v>
      </c>
      <c r="D57" s="51">
        <f>A57*C57</f>
        <v>0</v>
      </c>
      <c r="E57" s="51"/>
      <c r="F57" s="51"/>
      <c r="G57" s="51"/>
      <c r="H57" s="52"/>
    </row>
    <row r="58" spans="1:8" x14ac:dyDescent="0.25">
      <c r="A58" s="49">
        <f>IF(B9=B58,1,0)</f>
        <v>0</v>
      </c>
      <c r="B58" s="51" t="s">
        <v>24</v>
      </c>
      <c r="C58" s="51">
        <v>0</v>
      </c>
      <c r="D58" s="51">
        <f t="shared" ref="D58:D75" si="0">A58*C58</f>
        <v>0</v>
      </c>
      <c r="E58" s="51"/>
      <c r="F58" s="51"/>
      <c r="G58" s="51"/>
      <c r="H58" s="52"/>
    </row>
    <row r="59" spans="1:8" x14ac:dyDescent="0.25">
      <c r="A59" s="49">
        <f>IF(B9=B59,1,0)</f>
        <v>0</v>
      </c>
      <c r="B59" s="51" t="s">
        <v>25</v>
      </c>
      <c r="C59" s="51">
        <v>0</v>
      </c>
      <c r="D59" s="51">
        <f t="shared" si="0"/>
        <v>0</v>
      </c>
      <c r="E59" s="51"/>
      <c r="F59" s="51"/>
      <c r="G59" s="51"/>
      <c r="H59" s="52"/>
    </row>
    <row r="60" spans="1:8" x14ac:dyDescent="0.25">
      <c r="A60" s="49">
        <f>IF(B9=B60,1,0)</f>
        <v>0</v>
      </c>
      <c r="B60" s="51" t="s">
        <v>26</v>
      </c>
      <c r="C60" s="51">
        <v>0.1</v>
      </c>
      <c r="D60" s="51">
        <f t="shared" si="0"/>
        <v>0</v>
      </c>
      <c r="E60" s="51"/>
      <c r="F60" s="51"/>
      <c r="G60" s="51"/>
      <c r="H60" s="52"/>
    </row>
    <row r="61" spans="1:8" x14ac:dyDescent="0.25">
      <c r="A61" s="49">
        <f>IF(B9=B61,1,0)</f>
        <v>0</v>
      </c>
      <c r="B61" s="51" t="s">
        <v>36</v>
      </c>
      <c r="C61" s="51">
        <v>0.1</v>
      </c>
      <c r="D61" s="51">
        <f t="shared" si="0"/>
        <v>0</v>
      </c>
      <c r="E61" s="51"/>
      <c r="F61" s="51"/>
      <c r="G61" s="51"/>
      <c r="H61" s="52"/>
    </row>
    <row r="62" spans="1:8" x14ac:dyDescent="0.25">
      <c r="A62" s="49">
        <f>IF(B9=B62,1,0)</f>
        <v>1</v>
      </c>
      <c r="B62" s="51" t="s">
        <v>27</v>
      </c>
      <c r="C62" s="51">
        <v>1</v>
      </c>
      <c r="D62" s="51">
        <f t="shared" si="0"/>
        <v>1</v>
      </c>
      <c r="E62" s="51"/>
      <c r="F62" s="51"/>
      <c r="G62" s="51"/>
      <c r="H62" s="52"/>
    </row>
    <row r="63" spans="1:8" x14ac:dyDescent="0.25">
      <c r="A63" s="49">
        <f>IF(B9=B63,1,0)</f>
        <v>0</v>
      </c>
      <c r="B63" s="51" t="s">
        <v>37</v>
      </c>
      <c r="C63" s="51">
        <v>1</v>
      </c>
      <c r="D63" s="51">
        <f t="shared" si="0"/>
        <v>0</v>
      </c>
      <c r="E63" s="51"/>
      <c r="F63" s="51"/>
      <c r="G63" s="51"/>
      <c r="H63" s="52"/>
    </row>
    <row r="64" spans="1:8" x14ac:dyDescent="0.25">
      <c r="A64" s="49">
        <f>IF(B9=B64,1,0)</f>
        <v>0</v>
      </c>
      <c r="B64" s="51" t="s">
        <v>38</v>
      </c>
      <c r="C64" s="51">
        <v>0.9</v>
      </c>
      <c r="D64" s="51">
        <f>A64*C64</f>
        <v>0</v>
      </c>
      <c r="E64" s="51"/>
      <c r="F64" s="51"/>
      <c r="G64" s="51"/>
      <c r="H64" s="52"/>
    </row>
    <row r="65" spans="1:8" x14ac:dyDescent="0.25">
      <c r="A65" s="49">
        <f>IF(B9=B65,1,0)</f>
        <v>0</v>
      </c>
      <c r="B65" s="51" t="s">
        <v>39</v>
      </c>
      <c r="C65" s="51">
        <v>0.8</v>
      </c>
      <c r="D65" s="51">
        <f t="shared" si="0"/>
        <v>0</v>
      </c>
      <c r="E65" s="51"/>
      <c r="F65" s="51"/>
      <c r="G65" s="51"/>
      <c r="H65" s="52"/>
    </row>
    <row r="66" spans="1:8" x14ac:dyDescent="0.25">
      <c r="A66" s="49">
        <f>IF(B9=B66,1,0)</f>
        <v>0</v>
      </c>
      <c r="B66" s="51" t="s">
        <v>40</v>
      </c>
      <c r="C66" s="51">
        <v>0.5</v>
      </c>
      <c r="D66" s="51">
        <f t="shared" si="0"/>
        <v>0</v>
      </c>
      <c r="E66" s="51"/>
      <c r="F66" s="51"/>
      <c r="G66" s="51"/>
      <c r="H66" s="52"/>
    </row>
    <row r="67" spans="1:8" x14ac:dyDescent="0.25">
      <c r="A67" s="49">
        <f>IF(B9=B67,1,0)</f>
        <v>0</v>
      </c>
      <c r="B67" s="51" t="s">
        <v>28</v>
      </c>
      <c r="C67" s="51">
        <v>1.8</v>
      </c>
      <c r="D67" s="51">
        <f t="shared" si="0"/>
        <v>0</v>
      </c>
      <c r="E67" s="51"/>
      <c r="F67" s="51"/>
      <c r="G67" s="51"/>
      <c r="H67" s="52"/>
    </row>
    <row r="68" spans="1:8" x14ac:dyDescent="0.25">
      <c r="A68" s="49">
        <f>IF(B9=B68,1,0)</f>
        <v>0</v>
      </c>
      <c r="B68" s="51" t="s">
        <v>29</v>
      </c>
      <c r="C68" s="51">
        <v>1.5</v>
      </c>
      <c r="D68" s="51">
        <f t="shared" si="0"/>
        <v>0</v>
      </c>
      <c r="E68" s="51"/>
      <c r="F68" s="51"/>
      <c r="G68" s="51"/>
      <c r="H68" s="52"/>
    </row>
    <row r="69" spans="1:8" x14ac:dyDescent="0.25">
      <c r="A69" s="49">
        <f>IF(B9=B69,1,0)</f>
        <v>0</v>
      </c>
      <c r="B69" s="51" t="s">
        <v>30</v>
      </c>
      <c r="C69" s="51">
        <v>1.2</v>
      </c>
      <c r="D69" s="51">
        <f t="shared" si="0"/>
        <v>0</v>
      </c>
      <c r="E69" s="51"/>
      <c r="F69" s="51"/>
      <c r="G69" s="51"/>
      <c r="H69" s="52"/>
    </row>
    <row r="70" spans="1:8" x14ac:dyDescent="0.25">
      <c r="A70" s="49">
        <f>IF(B9=B70,1,0)</f>
        <v>0</v>
      </c>
      <c r="B70" s="51" t="s">
        <v>31</v>
      </c>
      <c r="C70" s="51">
        <v>1</v>
      </c>
      <c r="D70" s="51">
        <f t="shared" si="0"/>
        <v>0</v>
      </c>
      <c r="E70" s="51"/>
      <c r="F70" s="51"/>
      <c r="G70" s="51"/>
      <c r="H70" s="52"/>
    </row>
    <row r="71" spans="1:8" x14ac:dyDescent="0.25">
      <c r="A71" s="49">
        <f>IF(B9=B71,1,0)</f>
        <v>0</v>
      </c>
      <c r="B71" s="51" t="s">
        <v>32</v>
      </c>
      <c r="C71" s="51">
        <v>0</v>
      </c>
      <c r="D71" s="51">
        <f t="shared" si="0"/>
        <v>0</v>
      </c>
      <c r="E71" s="51"/>
      <c r="F71" s="51"/>
      <c r="G71" s="51"/>
      <c r="H71" s="52"/>
    </row>
    <row r="72" spans="1:8" x14ac:dyDescent="0.25">
      <c r="A72" s="49">
        <f>IF(B9=B72,1,0)</f>
        <v>0</v>
      </c>
      <c r="B72" s="51" t="s">
        <v>33</v>
      </c>
      <c r="C72" s="51">
        <v>0</v>
      </c>
      <c r="D72" s="51">
        <f t="shared" si="0"/>
        <v>0</v>
      </c>
      <c r="E72" s="51"/>
      <c r="F72" s="51"/>
      <c r="G72" s="51"/>
      <c r="H72" s="52"/>
    </row>
    <row r="73" spans="1:8" x14ac:dyDescent="0.25">
      <c r="A73" s="49">
        <f>IF(B9=B73,1,0)</f>
        <v>0</v>
      </c>
      <c r="B73" s="51" t="s">
        <v>34</v>
      </c>
      <c r="C73" s="51">
        <v>0</v>
      </c>
      <c r="D73" s="51">
        <f t="shared" si="0"/>
        <v>0</v>
      </c>
      <c r="E73" s="51"/>
      <c r="F73" s="51"/>
      <c r="G73" s="51"/>
      <c r="H73" s="52"/>
    </row>
    <row r="74" spans="1:8" x14ac:dyDescent="0.25">
      <c r="A74" s="49">
        <f>IF(B9=B74,1,0)</f>
        <v>0</v>
      </c>
      <c r="B74" s="51" t="s">
        <v>35</v>
      </c>
      <c r="C74" s="51">
        <v>0</v>
      </c>
      <c r="D74" s="51">
        <f t="shared" si="0"/>
        <v>0</v>
      </c>
      <c r="E74" s="51"/>
      <c r="F74" s="51"/>
      <c r="G74" s="51"/>
      <c r="H74" s="52"/>
    </row>
    <row r="75" spans="1:8" x14ac:dyDescent="0.25">
      <c r="A75" s="49">
        <f>IF(B9=B75,1,0)</f>
        <v>0</v>
      </c>
      <c r="B75" s="51"/>
      <c r="C75" s="51">
        <v>0</v>
      </c>
      <c r="D75" s="51">
        <f t="shared" si="0"/>
        <v>0</v>
      </c>
      <c r="E75" s="51"/>
      <c r="F75" s="51"/>
      <c r="G75" s="51"/>
      <c r="H75" s="52"/>
    </row>
    <row r="76" spans="1:8" x14ac:dyDescent="0.25">
      <c r="A76" s="49"/>
      <c r="B76" s="18" t="s">
        <v>41</v>
      </c>
      <c r="C76" s="18"/>
      <c r="D76" s="18">
        <f>SUM(D57:D75)</f>
        <v>1</v>
      </c>
      <c r="E76" s="51"/>
      <c r="F76" s="51"/>
      <c r="G76" s="51"/>
      <c r="H76" s="52"/>
    </row>
    <row r="77" spans="1:8" x14ac:dyDescent="0.25">
      <c r="A77" s="57"/>
      <c r="B77" s="58"/>
      <c r="C77" s="58"/>
      <c r="D77" s="58"/>
      <c r="E77" s="58"/>
      <c r="F77" s="58"/>
      <c r="G77" s="58"/>
      <c r="H77" s="59"/>
    </row>
  </sheetData>
  <sheetProtection sheet="1" selectLockedCells="1" sort="0" autoFilter="0"/>
  <dataValidations disablePrompts="1" count="3">
    <dataValidation type="list" allowBlank="1" showInputMessage="1" showErrorMessage="1" sqref="B5" xr:uid="{D2D3DE2C-B6CB-4EF6-A0BB-2D89CC5DCBB2}">
      <formula1>$B$49:$B$50</formula1>
    </dataValidation>
    <dataValidation type="list" allowBlank="1" showInputMessage="1" showErrorMessage="1" sqref="B7" xr:uid="{23F2A630-EDC5-40AD-93C3-971453BE939C}">
      <formula1>$B$53:$B$54</formula1>
    </dataValidation>
    <dataValidation type="list" allowBlank="1" showInputMessage="1" showErrorMessage="1" sqref="B9" xr:uid="{069E2184-53F3-434E-A733-2D6E0316D3AE}">
      <formula1>$B$57:$B$75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E5927-0D9B-4952-941F-61E9920EE442}">
  <dimension ref="A1:O131"/>
  <sheetViews>
    <sheetView showGridLines="0" zoomScaleNormal="100" workbookViewId="0">
      <pane ySplit="1" topLeftCell="A2" activePane="bottomLeft" state="frozen"/>
      <selection activeCell="H5" sqref="H5"/>
      <selection pane="bottomLeft" activeCell="G6" sqref="G6"/>
    </sheetView>
  </sheetViews>
  <sheetFormatPr defaultColWidth="9.140625" defaultRowHeight="15" x14ac:dyDescent="0.25"/>
  <cols>
    <col min="1" max="1" width="9.140625" style="13"/>
    <col min="2" max="2" width="4.28515625" style="13" customWidth="1"/>
    <col min="3" max="3" width="63" style="13" customWidth="1"/>
    <col min="4" max="4" width="9.140625" style="66"/>
    <col min="5" max="5" width="5.140625" style="13" customWidth="1"/>
    <col min="6" max="6" width="4.28515625" style="13" customWidth="1"/>
    <col min="7" max="7" width="29.140625" style="13" bestFit="1" customWidth="1"/>
    <col min="8" max="10" width="9.140625" style="13"/>
    <col min="11" max="11" width="17.5703125" style="13" customWidth="1"/>
    <col min="12" max="12" width="28.5703125" style="13" customWidth="1"/>
    <col min="13" max="13" width="16.7109375" style="78" customWidth="1"/>
    <col min="14" max="14" width="14.42578125" style="13" bestFit="1" customWidth="1"/>
    <col min="15" max="15" width="13.7109375" style="13" bestFit="1" customWidth="1"/>
    <col min="16" max="16384" width="9.140625" style="13"/>
  </cols>
  <sheetData>
    <row r="1" spans="1:15" s="61" customFormat="1" x14ac:dyDescent="0.25">
      <c r="A1" s="60"/>
      <c r="C1" s="149" t="s">
        <v>48</v>
      </c>
      <c r="D1" s="149"/>
      <c r="E1" s="149"/>
      <c r="F1" s="149"/>
      <c r="G1" s="149"/>
      <c r="H1" s="149"/>
      <c r="I1" s="149"/>
      <c r="J1" s="149"/>
      <c r="K1" s="149"/>
      <c r="L1" s="149"/>
      <c r="M1" s="149"/>
    </row>
    <row r="2" spans="1:15" s="61" customFormat="1" x14ac:dyDescent="0.25">
      <c r="A2" s="60"/>
      <c r="D2" s="62"/>
    </row>
    <row r="3" spans="1:15" s="61" customFormat="1" ht="23.25" x14ac:dyDescent="0.35">
      <c r="A3" s="60"/>
      <c r="C3" s="63" t="s">
        <v>51</v>
      </c>
      <c r="D3" s="62"/>
      <c r="F3" s="13"/>
      <c r="G3" s="63" t="s">
        <v>50</v>
      </c>
      <c r="L3" s="64" t="s">
        <v>46</v>
      </c>
    </row>
    <row r="4" spans="1:15" s="61" customFormat="1" ht="21" x14ac:dyDescent="0.35">
      <c r="A4" s="60"/>
      <c r="C4" s="65"/>
      <c r="D4" s="62"/>
      <c r="F4" s="13"/>
      <c r="G4" s="13"/>
      <c r="L4" s="64"/>
    </row>
    <row r="5" spans="1:15" ht="16.5" x14ac:dyDescent="0.25">
      <c r="C5" s="65" t="s">
        <v>49</v>
      </c>
      <c r="G5" s="65" t="s">
        <v>7</v>
      </c>
      <c r="H5" s="67" t="b">
        <v>0</v>
      </c>
      <c r="L5" s="68" t="s">
        <v>57</v>
      </c>
      <c r="M5" s="69">
        <f>VisningBeräkning!B13</f>
        <v>0</v>
      </c>
    </row>
    <row r="6" spans="1:15" ht="16.5" x14ac:dyDescent="0.25">
      <c r="C6" s="138" t="s">
        <v>86</v>
      </c>
      <c r="G6" s="139">
        <v>0</v>
      </c>
      <c r="H6" s="70"/>
      <c r="L6" s="58" t="s">
        <v>56</v>
      </c>
      <c r="M6" s="71" cm="1">
        <f t="array" ref="M6">_xlfn.IFS(VisningBeräkning!D140=1,VisningBeräkning!C22,VisningBeräkning!D140=2,VisningBeräkning!J22,VisningBeräkning!D140=3,VisningBeräkning!Q22)</f>
        <v>0.71</v>
      </c>
    </row>
    <row r="7" spans="1:15" x14ac:dyDescent="0.25">
      <c r="C7" s="72"/>
      <c r="L7" s="65" t="s">
        <v>8</v>
      </c>
      <c r="M7" s="73" cm="1">
        <f t="array" ref="M7">_xlfn.IFS(VisningBeräkning!D140=1,VisningBeräkning!E27,VisningBeräkning!D140=2,VisningBeräkning!L27,VisningBeräkning!D140=3,VisningBeräkning!S27)</f>
        <v>0</v>
      </c>
    </row>
    <row r="8" spans="1:15" ht="18" customHeight="1" x14ac:dyDescent="0.25">
      <c r="C8" s="65" t="s">
        <v>52</v>
      </c>
      <c r="H8" s="66"/>
      <c r="M8" s="74"/>
      <c r="N8" s="75"/>
    </row>
    <row r="9" spans="1:15" x14ac:dyDescent="0.25">
      <c r="C9" s="138" t="s">
        <v>27</v>
      </c>
      <c r="D9" s="66" t="s">
        <v>55</v>
      </c>
      <c r="H9" s="70"/>
      <c r="L9" s="13" t="s">
        <v>47</v>
      </c>
      <c r="M9" s="76" cm="1">
        <f t="array" ref="M9">_xlfn.IFS(VisningBeräkning!D140=1,SUM(VisningBeräkning!E29:E37),VisningBeräkning!D140=2,SUM(VisningBeräkning!L29:L37),VisningBeräkning!D140=3,SUM(VisningBeräkning!S29:S37))</f>
        <v>0</v>
      </c>
      <c r="O9" s="75"/>
    </row>
    <row r="10" spans="1:15" x14ac:dyDescent="0.25">
      <c r="C10" s="72"/>
      <c r="L10" s="58" t="s">
        <v>14</v>
      </c>
      <c r="M10" s="77" cm="1">
        <f t="array" ref="M10">_xlfn.IFS(VisningBeräkning!D140=1,VisningBeräkning!E38,VisningBeräkning!D140=2,VisningBeräkning!L38,VisningBeräkning!D140=3,VisningBeräkning!S38)</f>
        <v>0</v>
      </c>
    </row>
    <row r="11" spans="1:15" ht="18" customHeight="1" x14ac:dyDescent="0.25">
      <c r="C11" s="65" t="s">
        <v>53</v>
      </c>
      <c r="H11" s="67" t="b">
        <v>1</v>
      </c>
      <c r="L11" s="65" t="s">
        <v>102</v>
      </c>
      <c r="M11" s="73">
        <f>SUM(M7:M10)</f>
        <v>0</v>
      </c>
    </row>
    <row r="12" spans="1:15" x14ac:dyDescent="0.25">
      <c r="C12" s="138" t="s">
        <v>58</v>
      </c>
      <c r="H12" s="66"/>
    </row>
    <row r="13" spans="1:15" x14ac:dyDescent="0.25">
      <c r="H13" s="70"/>
      <c r="L13" s="51" t="str">
        <f>IF(M13&gt;0,"Tillägg för koncernlicens","Rabatt för användarkategori")</f>
        <v>Rabatt för användarkategori</v>
      </c>
      <c r="M13" s="147" cm="1">
        <f t="array" ref="M13">_xlfn.IFS(VisningBeräkning!D140=1,VisningBeräkning!E40,VisningBeräkning!D140=2,VisningBeräkning!L40,VisningBeräkning!D140=3,VisningBeräkning!S40)</f>
        <v>0</v>
      </c>
    </row>
    <row r="14" spans="1:15" x14ac:dyDescent="0.25">
      <c r="C14" s="65"/>
      <c r="H14" s="66"/>
      <c r="L14" s="58" t="s">
        <v>60</v>
      </c>
      <c r="M14" s="77" cm="1">
        <f t="array" ref="M14">_xlfn.IFS(VisningBeräkning!D140=1,VisningBeräkning!E43,VisningBeräkning!D140=2,VisningBeräkning!L43,VisningBeräkning!D140=3,VisningBeräkning!S43)</f>
        <v>0</v>
      </c>
    </row>
    <row r="15" spans="1:15" x14ac:dyDescent="0.25">
      <c r="D15" s="67" t="b">
        <v>0</v>
      </c>
      <c r="H15" s="67"/>
      <c r="L15" s="65" t="s">
        <v>59</v>
      </c>
      <c r="M15" s="73">
        <f>SUM(M11:M14)</f>
        <v>0</v>
      </c>
    </row>
    <row r="16" spans="1:15" x14ac:dyDescent="0.25">
      <c r="C16" s="78"/>
      <c r="D16" s="67" t="b">
        <v>1</v>
      </c>
      <c r="M16" s="13"/>
    </row>
    <row r="17" spans="3:14" x14ac:dyDescent="0.25">
      <c r="C17" s="78"/>
      <c r="D17" s="67" t="b">
        <v>0</v>
      </c>
      <c r="H17" s="70"/>
      <c r="M17" s="13"/>
    </row>
    <row r="18" spans="3:14" x14ac:dyDescent="0.25">
      <c r="C18" s="79"/>
      <c r="D18" s="67" t="b">
        <v>0</v>
      </c>
      <c r="L18"/>
      <c r="M18"/>
      <c r="N18"/>
    </row>
    <row r="19" spans="3:14" x14ac:dyDescent="0.25">
      <c r="L19"/>
      <c r="M19"/>
      <c r="N19"/>
    </row>
    <row r="20" spans="3:14" x14ac:dyDescent="0.25">
      <c r="L20"/>
      <c r="M20"/>
      <c r="N20"/>
    </row>
    <row r="21" spans="3:14" x14ac:dyDescent="0.25">
      <c r="L21"/>
      <c r="M21"/>
      <c r="N21"/>
    </row>
    <row r="22" spans="3:14" x14ac:dyDescent="0.25">
      <c r="L22"/>
      <c r="M22"/>
      <c r="N22"/>
    </row>
    <row r="24" spans="3:14" x14ac:dyDescent="0.25">
      <c r="M24" s="13"/>
    </row>
    <row r="25" spans="3:14" x14ac:dyDescent="0.25">
      <c r="M25" s="13"/>
    </row>
    <row r="26" spans="3:14" x14ac:dyDescent="0.25">
      <c r="M26" s="13"/>
    </row>
    <row r="27" spans="3:14" x14ac:dyDescent="0.25">
      <c r="M27" s="13"/>
    </row>
    <row r="40" spans="3:13" s="66" customFormat="1" x14ac:dyDescent="0.25">
      <c r="C40" s="65"/>
      <c r="E40" s="13"/>
      <c r="F40" s="13"/>
      <c r="G40" s="13"/>
      <c r="H40" s="13"/>
      <c r="I40" s="13"/>
      <c r="J40" s="13"/>
      <c r="K40" s="13"/>
      <c r="L40" s="13"/>
      <c r="M40" s="78"/>
    </row>
    <row r="131" spans="4:4" x14ac:dyDescent="0.25">
      <c r="D131" s="66" t="b">
        <v>1</v>
      </c>
    </row>
  </sheetData>
  <sheetProtection sheet="1" selectLockedCells="1" sort="0" autoFilter="0"/>
  <mergeCells count="1">
    <mergeCell ref="C1:M1"/>
  </mergeCells>
  <dataValidations count="2">
    <dataValidation operator="lessThan" allowBlank="1" showInputMessage="1" showErrorMessage="1" errorTitle="Max två decimaler" error="Fyll i ett värde med max två decimaler" sqref="G6" xr:uid="{FB6433BD-E8F8-4F5D-B6B7-5A596D24B659}"/>
    <dataValidation type="whole" operator="greaterThan" allowBlank="1" showInputMessage="1" showErrorMessage="1" sqref="G9 C7 C10 G17 G13:G14" xr:uid="{C29F70CE-B0FB-4FA8-987D-3B550FC1D1A3}">
      <formula1>-1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operator="greaterThan" allowBlank="1" showInputMessage="1" showErrorMessage="1" xr:uid="{91DB5C46-7255-46E2-A65D-3C4137DEAB7C}">
          <x14:formula1>
            <xm:f>VisningBeräkning!$A$56:$A$57</xm:f>
          </x14:formula1>
          <xm:sqref>C12</xm:sqref>
        </x14:dataValidation>
        <x14:dataValidation type="list" operator="greaterThan" allowBlank="1" showInputMessage="1" showErrorMessage="1" xr:uid="{412AF82E-D89D-4D39-B18D-ED35C02049A8}">
          <x14:formula1>
            <xm:f>VisningBeräkning!$B$101:$B$118</xm:f>
          </x14:formula1>
          <xm:sqref>C9</xm:sqref>
        </x14:dataValidation>
        <x14:dataValidation type="list" operator="greaterThan" allowBlank="1" showErrorMessage="1" prompt="För beräkning av avgift för visningtjänster, se bladet &quot;Visningstjänster&quot;" xr:uid="{BD6419D6-C402-4CD3-B0EF-7380E51A5227}">
          <x14:formula1>
            <xm:f>VisningBeräkning!$B$126:$B$139</xm:f>
          </x14:formula1>
          <xm:sqref>C6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4B2E2-C47F-4434-87CF-BED22051E0D3}">
  <dimension ref="A2:X140"/>
  <sheetViews>
    <sheetView zoomScale="90" zoomScaleNormal="90" workbookViewId="0">
      <selection activeCell="U29" sqref="U29"/>
    </sheetView>
  </sheetViews>
  <sheetFormatPr defaultRowHeight="15" x14ac:dyDescent="0.25"/>
  <cols>
    <col min="1" max="1" width="11" bestFit="1" customWidth="1"/>
    <col min="2" max="2" width="36.5703125" bestFit="1" customWidth="1"/>
    <col min="3" max="3" width="15.140625" bestFit="1" customWidth="1"/>
    <col min="4" max="5" width="17.140625" bestFit="1" customWidth="1"/>
    <col min="6" max="6" width="17" bestFit="1" customWidth="1"/>
    <col min="7" max="7" width="13.42578125" bestFit="1" customWidth="1"/>
    <col min="8" max="8" width="10.42578125" bestFit="1" customWidth="1"/>
    <col min="9" max="9" width="28.5703125" bestFit="1" customWidth="1"/>
    <col min="10" max="10" width="15.28515625" bestFit="1" customWidth="1"/>
    <col min="11" max="11" width="14.42578125" bestFit="1" customWidth="1"/>
    <col min="12" max="12" width="17.140625" bestFit="1" customWidth="1"/>
    <col min="13" max="13" width="16.42578125" bestFit="1" customWidth="1"/>
    <col min="15" max="15" width="15.28515625" bestFit="1" customWidth="1"/>
    <col min="16" max="16" width="28.5703125" bestFit="1" customWidth="1"/>
    <col min="17" max="17" width="15" bestFit="1" customWidth="1"/>
    <col min="18" max="18" width="18.5703125" bestFit="1" customWidth="1"/>
    <col min="19" max="19" width="17" bestFit="1" customWidth="1"/>
    <col min="20" max="20" width="19.42578125" bestFit="1" customWidth="1"/>
    <col min="21" max="21" width="14.85546875" bestFit="1" customWidth="1"/>
    <col min="22" max="22" width="13.42578125" bestFit="1" customWidth="1"/>
    <col min="23" max="23" width="21.85546875" bestFit="1" customWidth="1"/>
  </cols>
  <sheetData>
    <row r="2" spans="2:16" ht="19.5" thickBot="1" x14ac:dyDescent="0.35">
      <c r="B2" s="84"/>
      <c r="I2" s="84"/>
      <c r="P2" s="84"/>
    </row>
    <row r="3" spans="2:16" ht="21" x14ac:dyDescent="0.35">
      <c r="B3" s="85"/>
      <c r="C3" s="86"/>
      <c r="I3" s="87"/>
      <c r="P3" s="87"/>
    </row>
    <row r="4" spans="2:16" x14ac:dyDescent="0.25">
      <c r="B4" s="88" t="s">
        <v>61</v>
      </c>
      <c r="C4" s="89"/>
      <c r="I4" s="7"/>
      <c r="P4" s="7"/>
    </row>
    <row r="5" spans="2:16" x14ac:dyDescent="0.25">
      <c r="B5" s="140" t="str">
        <f>Visningstjänster!C6</f>
        <v>Basemap Visning, Inspire</v>
      </c>
      <c r="C5" s="91"/>
      <c r="I5" s="87"/>
      <c r="P5" s="87"/>
    </row>
    <row r="6" spans="2:16" x14ac:dyDescent="0.25">
      <c r="B6" s="88" t="s">
        <v>0</v>
      </c>
      <c r="C6" s="89"/>
      <c r="I6" s="7"/>
      <c r="P6" s="7"/>
    </row>
    <row r="7" spans="2:16" x14ac:dyDescent="0.25">
      <c r="B7" s="140" t="str">
        <f>Visningstjänster!C12</f>
        <v>Årlig avgift</v>
      </c>
      <c r="C7" s="91"/>
      <c r="I7" s="87"/>
      <c r="P7" s="87"/>
    </row>
    <row r="8" spans="2:16" x14ac:dyDescent="0.25">
      <c r="B8" s="88" t="s">
        <v>64</v>
      </c>
      <c r="C8" s="89"/>
      <c r="I8" s="7"/>
      <c r="P8" s="7"/>
    </row>
    <row r="9" spans="2:16" x14ac:dyDescent="0.25">
      <c r="B9" s="90" t="s">
        <v>21</v>
      </c>
      <c r="C9" s="91"/>
      <c r="I9" s="87"/>
      <c r="P9" s="87"/>
    </row>
    <row r="10" spans="2:16" x14ac:dyDescent="0.25">
      <c r="B10" s="88" t="s">
        <v>3</v>
      </c>
      <c r="C10" s="89"/>
      <c r="I10" s="7"/>
      <c r="P10" s="7"/>
    </row>
    <row r="11" spans="2:16" x14ac:dyDescent="0.25">
      <c r="B11" s="140" t="str">
        <f>Visningstjänster!C9</f>
        <v>Kommersiell slutanvändning</v>
      </c>
      <c r="C11" s="91"/>
      <c r="I11" s="87"/>
      <c r="P11" s="87"/>
    </row>
    <row r="12" spans="2:16" x14ac:dyDescent="0.25">
      <c r="B12" s="88" t="s">
        <v>7</v>
      </c>
      <c r="C12" s="89"/>
      <c r="I12" s="7"/>
      <c r="P12" s="7"/>
    </row>
    <row r="13" spans="2:16" ht="15.75" thickBot="1" x14ac:dyDescent="0.3">
      <c r="B13" s="92">
        <f>Visningstjänster!G6</f>
        <v>0</v>
      </c>
      <c r="C13" s="93"/>
      <c r="I13" s="94"/>
      <c r="P13" s="94"/>
    </row>
    <row r="14" spans="2:16" x14ac:dyDescent="0.25">
      <c r="B14" s="95"/>
      <c r="I14" s="94"/>
      <c r="P14" s="94"/>
    </row>
    <row r="15" spans="2:16" x14ac:dyDescent="0.25">
      <c r="B15" s="94"/>
      <c r="I15" s="94"/>
      <c r="P15" s="94"/>
    </row>
    <row r="16" spans="2:16" ht="18.75" x14ac:dyDescent="0.3">
      <c r="B16" s="96" t="s">
        <v>65</v>
      </c>
      <c r="I16" s="96" t="s">
        <v>66</v>
      </c>
      <c r="P16" s="96" t="s">
        <v>67</v>
      </c>
    </row>
    <row r="17" spans="2:21" x14ac:dyDescent="0.25">
      <c r="B17" s="8" t="s">
        <v>68</v>
      </c>
      <c r="I17" s="8" t="s">
        <v>69</v>
      </c>
      <c r="P17" s="8" t="s">
        <v>62</v>
      </c>
      <c r="Q17" s="97"/>
    </row>
    <row r="18" spans="2:21" ht="18.75" x14ac:dyDescent="0.3">
      <c r="B18" s="8" t="s">
        <v>70</v>
      </c>
      <c r="I18" s="96"/>
      <c r="P18" s="8" t="s">
        <v>71</v>
      </c>
    </row>
    <row r="19" spans="2:21" ht="18.75" x14ac:dyDescent="0.3">
      <c r="B19" s="8" t="s">
        <v>72</v>
      </c>
      <c r="I19" s="96"/>
      <c r="P19" s="96"/>
    </row>
    <row r="20" spans="2:21" x14ac:dyDescent="0.25">
      <c r="B20" s="98" t="s">
        <v>4</v>
      </c>
      <c r="C20" s="99"/>
      <c r="D20" s="99"/>
      <c r="E20" s="99"/>
      <c r="I20" s="98" t="s">
        <v>4</v>
      </c>
      <c r="J20" s="99"/>
      <c r="K20" s="99"/>
      <c r="L20" s="99"/>
      <c r="P20" s="98" t="s">
        <v>4</v>
      </c>
      <c r="Q20" s="99"/>
      <c r="R20" s="99"/>
      <c r="S20" s="99"/>
    </row>
    <row r="21" spans="2:21" x14ac:dyDescent="0.25">
      <c r="B21" s="98" t="s">
        <v>5</v>
      </c>
      <c r="C21" s="99"/>
      <c r="D21" s="99"/>
      <c r="E21" s="99"/>
      <c r="I21" s="98" t="s">
        <v>5</v>
      </c>
      <c r="J21" s="99"/>
      <c r="K21" s="99"/>
      <c r="L21" s="99"/>
      <c r="P21" s="98" t="s">
        <v>5</v>
      </c>
      <c r="Q21" s="99"/>
      <c r="R21" s="99"/>
      <c r="S21" s="99"/>
    </row>
    <row r="22" spans="2:21" x14ac:dyDescent="0.25">
      <c r="B22" s="100" t="s">
        <v>6</v>
      </c>
      <c r="C22" s="101">
        <f>IF(B7=A56,B56,B57)</f>
        <v>0.71</v>
      </c>
      <c r="D22" s="102"/>
      <c r="E22" s="100"/>
      <c r="I22" s="100" t="s">
        <v>6</v>
      </c>
      <c r="J22" s="101">
        <f>IF(B7=A56,B56,B57)</f>
        <v>0.71</v>
      </c>
      <c r="K22" s="100"/>
      <c r="L22" s="100"/>
      <c r="P22" s="100" t="s">
        <v>6</v>
      </c>
      <c r="Q22" s="101">
        <f>IF(B7=A56,B56,B57)</f>
        <v>0.71</v>
      </c>
      <c r="R22" s="100"/>
      <c r="S22" s="100"/>
    </row>
    <row r="23" spans="2:21" x14ac:dyDescent="0.25">
      <c r="B23" s="103" t="s">
        <v>7</v>
      </c>
      <c r="C23" s="104">
        <f>B13</f>
        <v>0</v>
      </c>
      <c r="D23" s="103"/>
      <c r="E23" s="103"/>
      <c r="I23" s="103" t="s">
        <v>7</v>
      </c>
      <c r="J23" s="104">
        <f>B13</f>
        <v>0</v>
      </c>
      <c r="K23" s="103"/>
      <c r="L23" s="103"/>
      <c r="P23" s="103" t="s">
        <v>7</v>
      </c>
      <c r="Q23" s="104">
        <f>B13</f>
        <v>0</v>
      </c>
      <c r="R23" s="103"/>
      <c r="S23" s="103"/>
    </row>
    <row r="24" spans="2:21" x14ac:dyDescent="0.25">
      <c r="B24" s="100" t="s">
        <v>20</v>
      </c>
      <c r="C24" s="105">
        <f>IF(B7=A56,K56,K57)</f>
        <v>125000</v>
      </c>
      <c r="D24" s="100"/>
      <c r="E24" s="100"/>
      <c r="I24" s="100" t="s">
        <v>20</v>
      </c>
      <c r="J24" s="105">
        <f>IF(B7=A56,K56,K57)</f>
        <v>125000</v>
      </c>
      <c r="K24" s="100"/>
      <c r="L24" s="100"/>
      <c r="P24" s="100" t="s">
        <v>20</v>
      </c>
      <c r="Q24" s="105">
        <f>IF(B7=A56,K56,K57)</f>
        <v>125000</v>
      </c>
      <c r="R24" s="100"/>
      <c r="S24" s="100"/>
    </row>
    <row r="25" spans="2:21" x14ac:dyDescent="0.25">
      <c r="B25" s="99"/>
      <c r="C25" s="99"/>
      <c r="D25" s="99"/>
      <c r="E25" s="99"/>
      <c r="I25" s="99"/>
      <c r="J25" s="99"/>
      <c r="K25" s="99"/>
      <c r="L25" s="99"/>
      <c r="P25" s="99"/>
      <c r="Q25" s="99"/>
      <c r="R25" s="99"/>
      <c r="S25" s="99"/>
    </row>
    <row r="26" spans="2:21" x14ac:dyDescent="0.25">
      <c r="B26" s="98" t="s">
        <v>45</v>
      </c>
      <c r="C26" s="99"/>
      <c r="D26" s="99"/>
      <c r="E26" s="99"/>
      <c r="F26" s="1" t="s">
        <v>44</v>
      </c>
      <c r="I26" s="98" t="s">
        <v>45</v>
      </c>
      <c r="J26" s="99"/>
      <c r="K26" s="99"/>
      <c r="L26" s="99"/>
      <c r="M26" s="1" t="s">
        <v>44</v>
      </c>
      <c r="P26" s="98" t="s">
        <v>45</v>
      </c>
      <c r="Q26" s="99"/>
      <c r="R26" s="99"/>
      <c r="S26" s="99"/>
      <c r="T26" s="1" t="s">
        <v>44</v>
      </c>
    </row>
    <row r="27" spans="2:21" x14ac:dyDescent="0.25">
      <c r="B27" s="106" t="s">
        <v>8</v>
      </c>
      <c r="C27" s="100"/>
      <c r="D27" s="100"/>
      <c r="E27" s="107">
        <f>C22*C23</f>
        <v>0</v>
      </c>
      <c r="F27" s="108">
        <f>E27</f>
        <v>0</v>
      </c>
      <c r="I27" s="106" t="s">
        <v>8</v>
      </c>
      <c r="J27" s="100"/>
      <c r="K27" s="100"/>
      <c r="L27" s="107">
        <f>J22*J23</f>
        <v>0</v>
      </c>
      <c r="M27" s="108">
        <f>L27</f>
        <v>0</v>
      </c>
      <c r="P27" s="106" t="s">
        <v>8</v>
      </c>
      <c r="Q27" s="100"/>
      <c r="R27" s="100"/>
      <c r="S27" s="107">
        <f>Q22*Q23</f>
        <v>0</v>
      </c>
      <c r="T27" s="108">
        <f>S27</f>
        <v>0</v>
      </c>
    </row>
    <row r="28" spans="2:21" x14ac:dyDescent="0.25">
      <c r="B28" s="100" t="s">
        <v>73</v>
      </c>
      <c r="C28" s="100"/>
      <c r="D28" s="100"/>
      <c r="E28" s="109"/>
      <c r="I28" s="100" t="s">
        <v>73</v>
      </c>
      <c r="J28" s="100"/>
      <c r="K28" s="100"/>
      <c r="L28" s="100"/>
      <c r="M28" s="1"/>
      <c r="P28" s="100" t="s">
        <v>73</v>
      </c>
      <c r="Q28" s="100"/>
      <c r="R28" s="100"/>
      <c r="S28" s="100"/>
    </row>
    <row r="29" spans="2:21" x14ac:dyDescent="0.25">
      <c r="F29">
        <f>SUM(E29:E37)</f>
        <v>0</v>
      </c>
      <c r="M29">
        <f t="shared" ref="M29" si="0">SUM(L29:L37)</f>
        <v>0</v>
      </c>
      <c r="P29" s="110" t="s">
        <v>10</v>
      </c>
      <c r="Q29" s="103"/>
      <c r="R29" s="112" t="s">
        <v>43</v>
      </c>
      <c r="S29" s="111">
        <f>(1-Q31)*Q30*(-1)</f>
        <v>0</v>
      </c>
      <c r="T29" s="108">
        <f>SUM(S27,S29)</f>
        <v>0</v>
      </c>
      <c r="U29" s="9">
        <f>SUM(S29:S37)</f>
        <v>0</v>
      </c>
    </row>
    <row r="30" spans="2:21" x14ac:dyDescent="0.25">
      <c r="P30" s="113">
        <f>IF(B7=A56,C56,C57)</f>
        <v>1</v>
      </c>
      <c r="Q30" s="113">
        <f>IF(B7=A56,D56,D57)</f>
        <v>35500</v>
      </c>
      <c r="R30" s="115">
        <f>IF(S27-R36-R33&gt;0,S27-R36-R33,0)</f>
        <v>0</v>
      </c>
      <c r="S30" s="103"/>
    </row>
    <row r="31" spans="2:21" x14ac:dyDescent="0.25">
      <c r="P31" s="103" t="s">
        <v>11</v>
      </c>
      <c r="Q31" s="116">
        <f>IF(B7=A56,E56,E57)</f>
        <v>1</v>
      </c>
      <c r="R31" s="112"/>
      <c r="S31" s="103"/>
    </row>
    <row r="32" spans="2:21" x14ac:dyDescent="0.25">
      <c r="I32" s="110" t="s">
        <v>10</v>
      </c>
      <c r="J32" s="103"/>
      <c r="K32" s="112" t="s">
        <v>43</v>
      </c>
      <c r="L32" s="111">
        <f>(1-J34)*K33*(-1)</f>
        <v>0</v>
      </c>
      <c r="M32" s="108">
        <f>SUM(L27,L32)</f>
        <v>0</v>
      </c>
      <c r="P32" s="106" t="s">
        <v>12</v>
      </c>
      <c r="Q32" s="100"/>
      <c r="R32" s="117"/>
      <c r="S32" s="107">
        <f>(1-Q34)*R33*(-1)</f>
        <v>0</v>
      </c>
      <c r="T32" s="108">
        <f>SUM(S27,S29,S32)</f>
        <v>0</v>
      </c>
    </row>
    <row r="33" spans="1:24" x14ac:dyDescent="0.25">
      <c r="B33" s="145"/>
      <c r="I33" s="114">
        <f>IF(B7=A56,C56,C57)</f>
        <v>1</v>
      </c>
      <c r="J33" s="113">
        <f>IF(B7=A56,D56,D57)</f>
        <v>35500</v>
      </c>
      <c r="K33" s="115">
        <f>IF(L27-K36&gt;0,L27-K36,0)</f>
        <v>0</v>
      </c>
      <c r="L33" s="103"/>
      <c r="M33" s="1"/>
      <c r="P33" s="105">
        <f>IF(B7=A56,F56,F57)</f>
        <v>35501</v>
      </c>
      <c r="Q33" s="105">
        <f>IF(B7=A56,G56,G57)</f>
        <v>0</v>
      </c>
      <c r="R33" s="118">
        <f>IF(S27-R36&gt;Q30,S27-R36-Q30,0)</f>
        <v>0</v>
      </c>
      <c r="S33" s="100"/>
    </row>
    <row r="34" spans="1:24" x14ac:dyDescent="0.25">
      <c r="I34" s="103" t="s">
        <v>11</v>
      </c>
      <c r="J34" s="116">
        <f>IF(B7=A56,E56,E57)</f>
        <v>1</v>
      </c>
      <c r="K34" s="103"/>
      <c r="L34" s="103"/>
      <c r="M34" s="1"/>
      <c r="P34" s="100" t="s">
        <v>11</v>
      </c>
      <c r="Q34" s="119">
        <f>IF(B7=A56,H56,H57)</f>
        <v>0.5</v>
      </c>
      <c r="R34" s="117"/>
      <c r="S34" s="100"/>
    </row>
    <row r="35" spans="1:24" x14ac:dyDescent="0.25">
      <c r="I35" s="106" t="s">
        <v>12</v>
      </c>
      <c r="J35" s="100"/>
      <c r="K35" s="100"/>
      <c r="L35" s="107">
        <f>(1-J37)*K36*(-1)</f>
        <v>0</v>
      </c>
      <c r="M35" s="108">
        <f>SUM(L27,L32,L35)</f>
        <v>0</v>
      </c>
      <c r="P35" s="110" t="s">
        <v>74</v>
      </c>
      <c r="Q35" s="103"/>
      <c r="R35" s="112"/>
      <c r="S35" s="111">
        <f>(1-Q37)*R36*(-1)</f>
        <v>0</v>
      </c>
      <c r="T35" s="108">
        <f>SUM(S27,S29,S32,S35)</f>
        <v>0</v>
      </c>
    </row>
    <row r="36" spans="1:24" x14ac:dyDescent="0.25">
      <c r="I36" s="105">
        <f>IF(B7=A56,F56,F57)</f>
        <v>35501</v>
      </c>
      <c r="J36" s="100"/>
      <c r="K36" s="118">
        <f>IF(L27&gt;J33,L27-J33,0)</f>
        <v>0</v>
      </c>
      <c r="L36" s="100"/>
      <c r="M36" s="1"/>
      <c r="P36" s="113">
        <f>IF(B7=A56,I56,I57)</f>
        <v>0</v>
      </c>
      <c r="Q36" s="103"/>
      <c r="R36" s="115">
        <f>IF(S27&gt;Q33,S27-Q33,0)</f>
        <v>0</v>
      </c>
      <c r="S36" s="103"/>
    </row>
    <row r="37" spans="1:24" x14ac:dyDescent="0.25">
      <c r="I37" s="100" t="s">
        <v>11</v>
      </c>
      <c r="J37" s="119">
        <f>IF(B7=A56,H56,H57)</f>
        <v>0.5</v>
      </c>
      <c r="K37" s="100"/>
      <c r="L37" s="100"/>
      <c r="M37" s="1"/>
      <c r="P37" s="103" t="s">
        <v>11</v>
      </c>
      <c r="Q37" s="116">
        <f>IF(B7=A56,J56,J57)</f>
        <v>0</v>
      </c>
      <c r="R37" s="103"/>
      <c r="S37" s="103"/>
    </row>
    <row r="38" spans="1:24" x14ac:dyDescent="0.25">
      <c r="B38" s="110" t="s">
        <v>14</v>
      </c>
      <c r="C38" s="103"/>
      <c r="D38" s="103"/>
      <c r="E38" s="111">
        <f>0-B39</f>
        <v>0</v>
      </c>
      <c r="F38" s="108">
        <f>SUM(E27,E38)</f>
        <v>0</v>
      </c>
      <c r="I38" s="110" t="s">
        <v>14</v>
      </c>
      <c r="J38" s="103"/>
      <c r="K38" s="103"/>
      <c r="L38" s="111">
        <f>0-I39</f>
        <v>0</v>
      </c>
      <c r="M38" s="108">
        <f>SUM(L27,L32,L35,L38)</f>
        <v>0</v>
      </c>
      <c r="P38" s="106" t="s">
        <v>14</v>
      </c>
      <c r="Q38" s="100"/>
      <c r="R38" s="100"/>
      <c r="S38" s="107">
        <f>(0-P39)</f>
        <v>0</v>
      </c>
      <c r="T38" s="108">
        <f>SUM(S27,S29,S32,S35,S38)</f>
        <v>0</v>
      </c>
    </row>
    <row r="39" spans="1:24" x14ac:dyDescent="0.25">
      <c r="B39" s="113">
        <f>IF(E27&gt;C24,E27-C24,0)</f>
        <v>0</v>
      </c>
      <c r="C39" s="103"/>
      <c r="D39" s="103"/>
      <c r="E39" s="103"/>
      <c r="I39" s="113">
        <f>IF(M35-J24&gt;0,M35-J24,0)</f>
        <v>0</v>
      </c>
      <c r="J39" s="103"/>
      <c r="K39" s="103"/>
      <c r="L39" s="103"/>
      <c r="M39" s="1"/>
      <c r="P39" s="105">
        <f>IF(T35-Q24&gt;0,T35-Q24,0)</f>
        <v>0</v>
      </c>
      <c r="Q39" s="100"/>
      <c r="R39" s="100"/>
      <c r="S39" s="100"/>
    </row>
    <row r="40" spans="1:24" x14ac:dyDescent="0.25">
      <c r="B40" s="106" t="s">
        <v>13</v>
      </c>
      <c r="C40" s="100"/>
      <c r="D40" s="100"/>
      <c r="E40" s="107">
        <f>SUM(E27,E38)*C42-SUM(E27,E38)</f>
        <v>0</v>
      </c>
      <c r="F40" s="108">
        <f>SUM(E27,E38,E40)</f>
        <v>0</v>
      </c>
      <c r="I40" s="106" t="s">
        <v>13</v>
      </c>
      <c r="J40" s="100"/>
      <c r="K40" s="100"/>
      <c r="L40" s="107">
        <f>SUM(L27,L32,L35,L38)*J42-SUM(L27,L32,L35,L38)</f>
        <v>0</v>
      </c>
      <c r="M40" s="108">
        <f>SUM(L27,L32,L35,L38,L40)</f>
        <v>0</v>
      </c>
      <c r="P40" s="110" t="s">
        <v>13</v>
      </c>
      <c r="Q40" s="103"/>
      <c r="R40" s="103"/>
      <c r="S40" s="111">
        <f>(1-Q42)*T38*(-1)</f>
        <v>0</v>
      </c>
      <c r="T40" s="108">
        <f>SUM(S27,S29,S32,S35,S38,S40)</f>
        <v>0</v>
      </c>
    </row>
    <row r="41" spans="1:24" x14ac:dyDescent="0.25">
      <c r="B41" s="146" t="str">
        <f>B11</f>
        <v>Kommersiell slutanvändning</v>
      </c>
      <c r="C41" s="100"/>
      <c r="D41" s="100"/>
      <c r="E41" s="100"/>
      <c r="I41" s="146" t="str">
        <f>B11</f>
        <v>Kommersiell slutanvändning</v>
      </c>
      <c r="J41" s="100"/>
      <c r="K41" s="100"/>
      <c r="L41" s="100"/>
      <c r="M41" s="1"/>
      <c r="P41" s="148" t="str">
        <f>B11</f>
        <v>Kommersiell slutanvändning</v>
      </c>
      <c r="Q41" s="103"/>
      <c r="R41" s="103"/>
      <c r="S41" s="103"/>
    </row>
    <row r="42" spans="1:24" x14ac:dyDescent="0.25">
      <c r="B42" s="100" t="s">
        <v>11</v>
      </c>
      <c r="C42" s="100">
        <f>D120</f>
        <v>1</v>
      </c>
      <c r="D42" s="100"/>
      <c r="E42" s="100"/>
      <c r="I42" s="100" t="s">
        <v>11</v>
      </c>
      <c r="J42" s="119">
        <f>D120</f>
        <v>1</v>
      </c>
      <c r="K42" s="100"/>
      <c r="L42" s="100"/>
      <c r="M42" s="1"/>
      <c r="P42" s="103" t="s">
        <v>11</v>
      </c>
      <c r="Q42" s="116">
        <f>D120</f>
        <v>1</v>
      </c>
      <c r="R42" s="103"/>
      <c r="S42" s="103"/>
    </row>
    <row r="43" spans="1:24" x14ac:dyDescent="0.25">
      <c r="B43" s="110" t="s">
        <v>13</v>
      </c>
      <c r="C43" s="103"/>
      <c r="D43" s="103"/>
      <c r="E43" s="111">
        <f>SUM(E27,E38,E40)*C45-SUM(E27,E38,E40)</f>
        <v>0</v>
      </c>
      <c r="F43" s="108">
        <f>SUM(E27,E38,E40,E43)</f>
        <v>0</v>
      </c>
      <c r="I43" s="110" t="s">
        <v>13</v>
      </c>
      <c r="J43" s="103"/>
      <c r="K43" s="103"/>
      <c r="L43" s="111">
        <f>SUM(L27,L32,L35,L38,L40)*J45-SUM(L27,L32,L35,L38,L40)</f>
        <v>0</v>
      </c>
      <c r="M43" s="108">
        <f>SUM(L27,L32,L35,L38,L40,L43)</f>
        <v>0</v>
      </c>
      <c r="P43" s="106" t="s">
        <v>13</v>
      </c>
      <c r="Q43" s="100"/>
      <c r="R43" s="100"/>
      <c r="S43" s="107">
        <f>(1-Q45)*T40*(-1)</f>
        <v>0</v>
      </c>
    </row>
    <row r="44" spans="1:24" x14ac:dyDescent="0.25">
      <c r="B44" s="103" t="str">
        <f>IF(B9=B97,B96,B98)</f>
        <v>Kommersiell vidareförädling</v>
      </c>
      <c r="C44" s="103"/>
      <c r="D44" s="103"/>
      <c r="E44" s="103"/>
      <c r="I44" s="103" t="str">
        <f>IF(B9=B97,B96,B98)</f>
        <v>Kommersiell vidareförädling</v>
      </c>
      <c r="J44" s="103"/>
      <c r="K44" s="103"/>
      <c r="L44" s="103"/>
      <c r="P44" s="100" t="str">
        <f>IF(B9=B97,B96,B98)</f>
        <v>Kommersiell vidareförädling</v>
      </c>
      <c r="Q44" s="100"/>
      <c r="R44" s="100"/>
      <c r="S44" s="100"/>
    </row>
    <row r="45" spans="1:24" x14ac:dyDescent="0.25">
      <c r="B45" s="103" t="s">
        <v>11</v>
      </c>
      <c r="C45" s="103">
        <f>IF(B9=B97,C97,C98)</f>
        <v>0.95</v>
      </c>
      <c r="D45" s="103"/>
      <c r="E45" s="103"/>
      <c r="I45" s="103" t="s">
        <v>11</v>
      </c>
      <c r="J45" s="116">
        <f>IF(B9=B97,C97,C98)</f>
        <v>0.95</v>
      </c>
      <c r="K45" s="103"/>
      <c r="L45" s="103"/>
      <c r="P45" s="100" t="s">
        <v>11</v>
      </c>
      <c r="Q45" s="119">
        <f>IF(B9=B97,C97,C98)</f>
        <v>0.95</v>
      </c>
      <c r="R45" s="100"/>
      <c r="S45" s="100"/>
    </row>
    <row r="46" spans="1:24" x14ac:dyDescent="0.25">
      <c r="B46" s="106" t="s">
        <v>15</v>
      </c>
      <c r="C46" s="100"/>
      <c r="D46" s="100"/>
      <c r="E46" s="120">
        <f>ROUND(SUM(E27,E38,E40,E43),2)</f>
        <v>0</v>
      </c>
      <c r="I46" s="106" t="s">
        <v>15</v>
      </c>
      <c r="J46" s="100"/>
      <c r="K46" s="100"/>
      <c r="L46" s="120">
        <f>ROUND(SUM(L27,L32,L35,L38,L40,L43),2)</f>
        <v>0</v>
      </c>
      <c r="P46" s="110" t="s">
        <v>15</v>
      </c>
      <c r="Q46" s="103"/>
      <c r="R46" s="103"/>
      <c r="S46" s="122">
        <f>ROUND(SUM(S27,S29,S32,S35,S38,S40,S43),2)</f>
        <v>0</v>
      </c>
    </row>
    <row r="47" spans="1:24" s="3" customFormat="1" x14ac:dyDescent="0.25">
      <c r="B47" s="121" t="s">
        <v>75</v>
      </c>
      <c r="C47" s="103"/>
      <c r="D47" s="103"/>
      <c r="E47" s="111">
        <f>E46*0.25</f>
        <v>0</v>
      </c>
      <c r="F47"/>
      <c r="G47"/>
      <c r="H47"/>
      <c r="I47" s="121" t="s">
        <v>75</v>
      </c>
      <c r="J47" s="103"/>
      <c r="K47" s="103"/>
      <c r="L47" s="111">
        <f>L46*0.25</f>
        <v>0</v>
      </c>
      <c r="M47"/>
      <c r="P47" s="142" t="s">
        <v>75</v>
      </c>
      <c r="Q47" s="2"/>
      <c r="R47" s="2"/>
      <c r="S47" s="4">
        <f>S46*0.25</f>
        <v>0</v>
      </c>
    </row>
    <row r="48" spans="1:24" x14ac:dyDescent="0.25">
      <c r="A48" s="123"/>
      <c r="B48" s="106" t="s">
        <v>17</v>
      </c>
      <c r="C48" s="100"/>
      <c r="D48" s="100"/>
      <c r="E48" s="120">
        <f>SUM(E46,E47)</f>
        <v>0</v>
      </c>
      <c r="I48" s="106" t="s">
        <v>17</v>
      </c>
      <c r="J48" s="100"/>
      <c r="K48" s="100"/>
      <c r="L48" s="120">
        <f>SUM(L46,L47)</f>
        <v>0</v>
      </c>
      <c r="N48" s="3"/>
      <c r="O48" s="3"/>
      <c r="P48" s="6" t="s">
        <v>17</v>
      </c>
      <c r="Q48" s="5"/>
      <c r="R48" s="5"/>
      <c r="S48" s="141">
        <f>SUM(S46:S47)</f>
        <v>0</v>
      </c>
      <c r="T48" s="3"/>
      <c r="U48" s="3"/>
      <c r="V48" s="3"/>
      <c r="W48" s="3"/>
      <c r="X48" s="125"/>
    </row>
    <row r="49" spans="1:24" x14ac:dyDescent="0.25">
      <c r="A49" s="123"/>
      <c r="B49" s="99"/>
      <c r="C49" s="99"/>
      <c r="D49" s="99"/>
      <c r="E49" s="99"/>
      <c r="I49" s="99"/>
      <c r="J49" s="99"/>
      <c r="K49" s="99"/>
      <c r="L49" s="99"/>
      <c r="P49" s="99"/>
      <c r="Q49" s="99"/>
      <c r="R49" s="99"/>
      <c r="S49" s="99"/>
      <c r="X49" s="125"/>
    </row>
    <row r="50" spans="1:24" x14ac:dyDescent="0.25">
      <c r="A50" s="123"/>
      <c r="B50" s="124"/>
      <c r="X50" s="125"/>
    </row>
    <row r="51" spans="1:24" s="136" customFormat="1" ht="15.75" thickBot="1" x14ac:dyDescent="0.3">
      <c r="A51" s="134"/>
      <c r="B51" s="143"/>
      <c r="X51" s="137"/>
    </row>
    <row r="52" spans="1:24" x14ac:dyDescent="0.25">
      <c r="A52" s="123"/>
      <c r="B52" s="124"/>
      <c r="X52" s="125"/>
    </row>
    <row r="53" spans="1:24" x14ac:dyDescent="0.25">
      <c r="A53" s="123"/>
      <c r="B53" s="124"/>
      <c r="X53" s="125"/>
    </row>
    <row r="54" spans="1:24" x14ac:dyDescent="0.25">
      <c r="A54" s="123"/>
      <c r="X54" s="125"/>
    </row>
    <row r="55" spans="1:24" x14ac:dyDescent="0.25">
      <c r="A55" s="126" t="s">
        <v>0</v>
      </c>
      <c r="B55" s="7" t="s">
        <v>6</v>
      </c>
      <c r="C55" s="7" t="s">
        <v>10</v>
      </c>
      <c r="D55" s="7"/>
      <c r="F55" s="7" t="s">
        <v>12</v>
      </c>
      <c r="I55" s="7" t="s">
        <v>74</v>
      </c>
      <c r="K55" s="7" t="s">
        <v>20</v>
      </c>
      <c r="X55" s="125"/>
    </row>
    <row r="56" spans="1:24" x14ac:dyDescent="0.25">
      <c r="A56" s="123" t="s">
        <v>98</v>
      </c>
      <c r="B56" s="127">
        <f>E75</f>
        <v>7.0999999999999994E-2</v>
      </c>
      <c r="C56" s="128">
        <f>I75</f>
        <v>1</v>
      </c>
      <c r="D56" s="128">
        <f>J75</f>
        <v>3550</v>
      </c>
      <c r="E56">
        <f>K75</f>
        <v>1</v>
      </c>
      <c r="F56" s="128">
        <f>O75</f>
        <v>3550.1</v>
      </c>
      <c r="G56" s="9">
        <f>P75</f>
        <v>0</v>
      </c>
      <c r="H56">
        <f>Q75</f>
        <v>0.5</v>
      </c>
      <c r="I56" s="9">
        <f>T75</f>
        <v>0</v>
      </c>
      <c r="J56">
        <f>U75</f>
        <v>0</v>
      </c>
      <c r="K56" s="9">
        <f>W75</f>
        <v>12500</v>
      </c>
      <c r="X56" s="125"/>
    </row>
    <row r="57" spans="1:24" x14ac:dyDescent="0.25">
      <c r="A57" s="123" t="s">
        <v>58</v>
      </c>
      <c r="B57" s="127">
        <f>E94</f>
        <v>0.71</v>
      </c>
      <c r="C57" s="128">
        <f>I94</f>
        <v>1</v>
      </c>
      <c r="D57" s="128">
        <f>J94</f>
        <v>35500</v>
      </c>
      <c r="E57">
        <f>K94</f>
        <v>1</v>
      </c>
      <c r="F57" s="128">
        <f>O94</f>
        <v>35501</v>
      </c>
      <c r="G57" s="9">
        <f>P94</f>
        <v>0</v>
      </c>
      <c r="H57">
        <f>Q94</f>
        <v>0.5</v>
      </c>
      <c r="I57" s="9">
        <f>T94</f>
        <v>0</v>
      </c>
      <c r="J57">
        <f>U94</f>
        <v>0</v>
      </c>
      <c r="K57" s="9">
        <f>W94</f>
        <v>125000</v>
      </c>
      <c r="X57" s="125"/>
    </row>
    <row r="58" spans="1:24" x14ac:dyDescent="0.25">
      <c r="A58" s="123"/>
      <c r="X58" s="125"/>
    </row>
    <row r="59" spans="1:24" x14ac:dyDescent="0.25">
      <c r="A59" s="88" t="s">
        <v>42</v>
      </c>
      <c r="B59" t="s">
        <v>76</v>
      </c>
      <c r="X59" s="125"/>
    </row>
    <row r="60" spans="1:24" x14ac:dyDescent="0.25">
      <c r="A60" s="123"/>
      <c r="B60" s="98" t="s">
        <v>77</v>
      </c>
      <c r="C60" s="98" t="s">
        <v>78</v>
      </c>
      <c r="D60" s="98" t="s">
        <v>79</v>
      </c>
      <c r="E60" s="98" t="s">
        <v>80</v>
      </c>
      <c r="F60" s="98" t="s">
        <v>10</v>
      </c>
      <c r="I60" s="98" t="s">
        <v>81</v>
      </c>
      <c r="K60" s="98"/>
      <c r="L60" s="98" t="s">
        <v>12</v>
      </c>
      <c r="M60" s="98"/>
      <c r="N60" s="98"/>
      <c r="O60" s="98" t="s">
        <v>82</v>
      </c>
      <c r="P60" s="98"/>
      <c r="Q60" s="98"/>
      <c r="R60" s="98" t="s">
        <v>74</v>
      </c>
      <c r="S60" s="98"/>
      <c r="T60" s="98" t="s">
        <v>83</v>
      </c>
      <c r="U60" s="98"/>
      <c r="V60" s="98" t="s">
        <v>20</v>
      </c>
      <c r="W60" s="98" t="s">
        <v>84</v>
      </c>
      <c r="X60" s="125"/>
    </row>
    <row r="61" spans="1:24" x14ac:dyDescent="0.25">
      <c r="A61" s="123">
        <f>IF($B$5=B61,1,0)</f>
        <v>0</v>
      </c>
      <c r="B61" s="129" t="s">
        <v>68</v>
      </c>
      <c r="C61" t="s">
        <v>85</v>
      </c>
      <c r="D61" s="127">
        <v>1E-3</v>
      </c>
      <c r="E61" s="127">
        <f t="shared" ref="E61:E74" si="1">A61*D61</f>
        <v>0</v>
      </c>
      <c r="F61" s="9"/>
      <c r="G61" s="9"/>
      <c r="H61">
        <v>1</v>
      </c>
      <c r="I61" s="130">
        <f t="shared" ref="I61:I74" si="2">A61*F61</f>
        <v>0</v>
      </c>
      <c r="J61" s="130">
        <f t="shared" ref="J61:J74" si="3">A61*G61</f>
        <v>0</v>
      </c>
      <c r="K61">
        <f t="shared" ref="K61:K74" si="4">H61*A61</f>
        <v>0</v>
      </c>
      <c r="L61" s="130"/>
      <c r="M61" s="130"/>
      <c r="N61" s="97"/>
      <c r="O61" s="130">
        <f t="shared" ref="O61:O74" si="5">L61*A61</f>
        <v>0</v>
      </c>
      <c r="P61" s="130">
        <f t="shared" ref="P61:P74" si="6">M61*A61</f>
        <v>0</v>
      </c>
      <c r="Q61">
        <f t="shared" ref="Q61:Q74" si="7">N61*A61</f>
        <v>0</v>
      </c>
      <c r="R61" s="130"/>
      <c r="S61" s="97"/>
      <c r="T61" s="130">
        <f t="shared" ref="T61:T74" si="8">R61*A61</f>
        <v>0</v>
      </c>
      <c r="U61">
        <f t="shared" ref="U61:U74" si="9">S61*A61</f>
        <v>0</v>
      </c>
      <c r="V61" s="9">
        <v>1461</v>
      </c>
      <c r="W61" s="9">
        <f t="shared" ref="W61:W74" si="10">V61*A61</f>
        <v>0</v>
      </c>
      <c r="X61" s="125"/>
    </row>
    <row r="62" spans="1:24" x14ac:dyDescent="0.25">
      <c r="A62" s="123">
        <f>IF(B5=B62,1,0)</f>
        <v>0</v>
      </c>
      <c r="B62" s="129" t="s">
        <v>70</v>
      </c>
      <c r="C62" t="s">
        <v>85</v>
      </c>
      <c r="D62" s="127">
        <v>1.0500000000000001E-2</v>
      </c>
      <c r="E62" s="127">
        <f t="shared" si="1"/>
        <v>0</v>
      </c>
      <c r="F62" s="9"/>
      <c r="G62" s="9"/>
      <c r="H62">
        <v>1</v>
      </c>
      <c r="I62" s="130">
        <f t="shared" si="2"/>
        <v>0</v>
      </c>
      <c r="J62" s="130">
        <f t="shared" si="3"/>
        <v>0</v>
      </c>
      <c r="K62">
        <f t="shared" si="4"/>
        <v>0</v>
      </c>
      <c r="L62" s="130"/>
      <c r="M62" s="130"/>
      <c r="N62" s="97"/>
      <c r="O62" s="130">
        <f t="shared" si="5"/>
        <v>0</v>
      </c>
      <c r="P62" s="130">
        <f t="shared" si="6"/>
        <v>0</v>
      </c>
      <c r="Q62">
        <f t="shared" si="7"/>
        <v>0</v>
      </c>
      <c r="R62" s="130"/>
      <c r="S62" s="97"/>
      <c r="T62" s="130">
        <f t="shared" si="8"/>
        <v>0</v>
      </c>
      <c r="U62">
        <f t="shared" si="9"/>
        <v>0</v>
      </c>
      <c r="V62" s="9">
        <v>1473.5</v>
      </c>
      <c r="W62" s="9">
        <f t="shared" si="10"/>
        <v>0</v>
      </c>
      <c r="X62" s="125"/>
    </row>
    <row r="63" spans="1:24" x14ac:dyDescent="0.25">
      <c r="A63" s="123">
        <f>IF(B5=B63,1,0)</f>
        <v>0</v>
      </c>
      <c r="B63" s="129" t="s">
        <v>72</v>
      </c>
      <c r="C63" t="s">
        <v>85</v>
      </c>
      <c r="D63" s="127">
        <v>1.0500000000000001E-2</v>
      </c>
      <c r="E63" s="127">
        <f t="shared" si="1"/>
        <v>0</v>
      </c>
      <c r="F63" s="9"/>
      <c r="G63" s="9"/>
      <c r="H63">
        <v>1</v>
      </c>
      <c r="I63" s="130">
        <f t="shared" si="2"/>
        <v>0</v>
      </c>
      <c r="J63" s="130">
        <f t="shared" si="3"/>
        <v>0</v>
      </c>
      <c r="K63">
        <f t="shared" si="4"/>
        <v>0</v>
      </c>
      <c r="L63" s="130"/>
      <c r="M63" s="130"/>
      <c r="N63" s="97"/>
      <c r="O63" s="130">
        <f t="shared" si="5"/>
        <v>0</v>
      </c>
      <c r="P63" s="130">
        <f t="shared" si="6"/>
        <v>0</v>
      </c>
      <c r="Q63">
        <f t="shared" si="7"/>
        <v>0</v>
      </c>
      <c r="R63" s="130"/>
      <c r="S63" s="97"/>
      <c r="T63" s="130">
        <f t="shared" si="8"/>
        <v>0</v>
      </c>
      <c r="U63">
        <f t="shared" si="9"/>
        <v>0</v>
      </c>
      <c r="V63" s="9">
        <v>1473.5</v>
      </c>
      <c r="W63" s="9">
        <f t="shared" si="10"/>
        <v>0</v>
      </c>
      <c r="X63" s="125"/>
    </row>
    <row r="64" spans="1:24" x14ac:dyDescent="0.25">
      <c r="A64" s="123">
        <f>IF(B5=B64,1,0)</f>
        <v>1</v>
      </c>
      <c r="B64" s="129" t="s">
        <v>86</v>
      </c>
      <c r="C64" t="s">
        <v>85</v>
      </c>
      <c r="D64" s="127">
        <v>7.0999999999999994E-2</v>
      </c>
      <c r="E64" s="127">
        <f t="shared" si="1"/>
        <v>7.0999999999999994E-2</v>
      </c>
      <c r="F64" s="9">
        <v>1</v>
      </c>
      <c r="G64" s="9">
        <v>3550</v>
      </c>
      <c r="H64">
        <v>1</v>
      </c>
      <c r="I64" s="9">
        <f t="shared" si="2"/>
        <v>1</v>
      </c>
      <c r="J64" s="9">
        <f t="shared" si="3"/>
        <v>3550</v>
      </c>
      <c r="K64">
        <f t="shared" si="4"/>
        <v>1</v>
      </c>
      <c r="L64" s="9">
        <v>3550.1</v>
      </c>
      <c r="M64" s="9"/>
      <c r="N64">
        <v>0.5</v>
      </c>
      <c r="O64" s="9">
        <f t="shared" si="5"/>
        <v>3550.1</v>
      </c>
      <c r="P64" s="9">
        <f t="shared" si="6"/>
        <v>0</v>
      </c>
      <c r="Q64">
        <f t="shared" si="7"/>
        <v>0.5</v>
      </c>
      <c r="R64" s="9"/>
      <c r="T64" s="130">
        <f t="shared" si="8"/>
        <v>0</v>
      </c>
      <c r="U64">
        <f t="shared" si="9"/>
        <v>0</v>
      </c>
      <c r="V64" s="9">
        <v>12500</v>
      </c>
      <c r="W64" s="9">
        <f t="shared" si="10"/>
        <v>12500</v>
      </c>
      <c r="X64" s="125"/>
    </row>
    <row r="65" spans="1:24" x14ac:dyDescent="0.25">
      <c r="A65" s="123">
        <f>IF(B5=B65,1,0)</f>
        <v>0</v>
      </c>
      <c r="B65" s="129" t="s">
        <v>87</v>
      </c>
      <c r="C65" t="s">
        <v>85</v>
      </c>
      <c r="D65" s="127">
        <v>2.8000000000000001E-2</v>
      </c>
      <c r="E65" s="127">
        <f t="shared" si="1"/>
        <v>0</v>
      </c>
      <c r="F65" s="9">
        <v>1</v>
      </c>
      <c r="G65" s="9">
        <v>1400</v>
      </c>
      <c r="H65">
        <v>1</v>
      </c>
      <c r="I65" s="9">
        <f t="shared" si="2"/>
        <v>0</v>
      </c>
      <c r="J65" s="9">
        <f t="shared" si="3"/>
        <v>0</v>
      </c>
      <c r="K65">
        <f t="shared" si="4"/>
        <v>0</v>
      </c>
      <c r="L65" s="9">
        <v>1400.1</v>
      </c>
      <c r="M65" s="9"/>
      <c r="N65">
        <v>0.5</v>
      </c>
      <c r="O65" s="9">
        <f t="shared" si="5"/>
        <v>0</v>
      </c>
      <c r="P65" s="9">
        <f t="shared" si="6"/>
        <v>0</v>
      </c>
      <c r="Q65">
        <f t="shared" si="7"/>
        <v>0</v>
      </c>
      <c r="R65" s="9"/>
      <c r="T65" s="130">
        <f t="shared" si="8"/>
        <v>0</v>
      </c>
      <c r="U65">
        <f t="shared" si="9"/>
        <v>0</v>
      </c>
      <c r="V65" s="9">
        <v>5000</v>
      </c>
      <c r="W65" s="9">
        <f t="shared" si="10"/>
        <v>0</v>
      </c>
      <c r="X65" s="125"/>
    </row>
    <row r="66" spans="1:24" x14ac:dyDescent="0.25">
      <c r="A66" s="123">
        <f>IF(B5=B66,1,0)</f>
        <v>0</v>
      </c>
      <c r="B66" s="129" t="s">
        <v>88</v>
      </c>
      <c r="C66" t="s">
        <v>85</v>
      </c>
      <c r="D66" s="127">
        <v>8.5000000000000006E-2</v>
      </c>
      <c r="E66" s="127">
        <f t="shared" si="1"/>
        <v>0</v>
      </c>
      <c r="F66" s="9">
        <v>1</v>
      </c>
      <c r="G66" s="9">
        <v>4173.8</v>
      </c>
      <c r="H66">
        <v>1</v>
      </c>
      <c r="I66" s="9">
        <f t="shared" si="2"/>
        <v>0</v>
      </c>
      <c r="J66" s="9">
        <f t="shared" si="3"/>
        <v>0</v>
      </c>
      <c r="K66">
        <f t="shared" si="4"/>
        <v>0</v>
      </c>
      <c r="L66" s="9">
        <v>4173.8999999999996</v>
      </c>
      <c r="M66" s="9"/>
      <c r="N66">
        <v>0.4</v>
      </c>
      <c r="O66" s="9">
        <f t="shared" si="5"/>
        <v>0</v>
      </c>
      <c r="P66" s="9">
        <f t="shared" si="6"/>
        <v>0</v>
      </c>
      <c r="Q66">
        <f t="shared" si="7"/>
        <v>0</v>
      </c>
      <c r="R66" s="9"/>
      <c r="T66" s="130">
        <f t="shared" si="8"/>
        <v>0</v>
      </c>
      <c r="U66">
        <f t="shared" si="9"/>
        <v>0</v>
      </c>
      <c r="V66" s="9">
        <v>11687</v>
      </c>
      <c r="W66" s="9">
        <f t="shared" si="10"/>
        <v>0</v>
      </c>
      <c r="X66" s="125"/>
    </row>
    <row r="67" spans="1:24" x14ac:dyDescent="0.25">
      <c r="A67" s="123">
        <f>IF(B5=B67,1,0)</f>
        <v>0</v>
      </c>
      <c r="B67" s="129" t="s">
        <v>89</v>
      </c>
      <c r="C67" t="s">
        <v>85</v>
      </c>
      <c r="D67" s="127">
        <v>0.17</v>
      </c>
      <c r="E67" s="127">
        <f t="shared" si="1"/>
        <v>0</v>
      </c>
      <c r="F67" s="9">
        <v>1</v>
      </c>
      <c r="G67" s="9">
        <v>6000</v>
      </c>
      <c r="H67">
        <v>1</v>
      </c>
      <c r="I67" s="9">
        <f t="shared" si="2"/>
        <v>0</v>
      </c>
      <c r="J67" s="9">
        <f t="shared" si="3"/>
        <v>0</v>
      </c>
      <c r="K67">
        <f t="shared" si="4"/>
        <v>0</v>
      </c>
      <c r="L67" s="9">
        <v>6001</v>
      </c>
      <c r="M67" s="9"/>
      <c r="N67">
        <v>0.4</v>
      </c>
      <c r="O67" s="9">
        <f t="shared" si="5"/>
        <v>0</v>
      </c>
      <c r="P67" s="9">
        <f t="shared" si="6"/>
        <v>0</v>
      </c>
      <c r="Q67">
        <f t="shared" si="7"/>
        <v>0</v>
      </c>
      <c r="R67" s="9"/>
      <c r="T67" s="130">
        <f t="shared" si="8"/>
        <v>0</v>
      </c>
      <c r="U67">
        <f t="shared" si="9"/>
        <v>0</v>
      </c>
      <c r="V67" s="9">
        <v>23400</v>
      </c>
      <c r="W67" s="9">
        <f t="shared" si="10"/>
        <v>0</v>
      </c>
      <c r="X67" s="125"/>
    </row>
    <row r="68" spans="1:24" x14ac:dyDescent="0.25">
      <c r="A68" s="123">
        <f>IF(B5=B68,1,0)</f>
        <v>0</v>
      </c>
      <c r="B68" s="129" t="s">
        <v>90</v>
      </c>
      <c r="C68" t="s">
        <v>85</v>
      </c>
      <c r="D68" s="127">
        <v>3.4000000000000002E-2</v>
      </c>
      <c r="E68" s="127">
        <f t="shared" si="1"/>
        <v>0</v>
      </c>
      <c r="F68" s="9">
        <v>1</v>
      </c>
      <c r="G68" s="9">
        <v>2700</v>
      </c>
      <c r="H68">
        <v>1</v>
      </c>
      <c r="I68" s="9">
        <f t="shared" si="2"/>
        <v>0</v>
      </c>
      <c r="J68" s="9">
        <f t="shared" si="3"/>
        <v>0</v>
      </c>
      <c r="K68">
        <f t="shared" si="4"/>
        <v>0</v>
      </c>
      <c r="L68" s="9">
        <v>2701</v>
      </c>
      <c r="M68" s="9"/>
      <c r="N68">
        <v>0.5</v>
      </c>
      <c r="O68" s="9">
        <f t="shared" si="5"/>
        <v>0</v>
      </c>
      <c r="P68" s="9">
        <f t="shared" si="6"/>
        <v>0</v>
      </c>
      <c r="Q68">
        <f t="shared" si="7"/>
        <v>0</v>
      </c>
      <c r="R68" s="9"/>
      <c r="T68" s="130">
        <f t="shared" si="8"/>
        <v>0</v>
      </c>
      <c r="U68">
        <f t="shared" si="9"/>
        <v>0</v>
      </c>
      <c r="V68" s="9">
        <v>6050</v>
      </c>
      <c r="W68" s="9">
        <f t="shared" si="10"/>
        <v>0</v>
      </c>
      <c r="X68" s="125"/>
    </row>
    <row r="69" spans="1:24" x14ac:dyDescent="0.25">
      <c r="A69" s="123">
        <f>IF(B5=B69,1,0)</f>
        <v>0</v>
      </c>
      <c r="B69" s="129" t="s">
        <v>91</v>
      </c>
      <c r="C69" t="s">
        <v>85</v>
      </c>
      <c r="D69" s="127">
        <v>0.14000000000000001</v>
      </c>
      <c r="E69" s="127">
        <f t="shared" si="1"/>
        <v>0</v>
      </c>
      <c r="F69" s="9">
        <v>1</v>
      </c>
      <c r="G69" s="9">
        <v>7000</v>
      </c>
      <c r="H69">
        <v>1</v>
      </c>
      <c r="I69" s="9">
        <f t="shared" si="2"/>
        <v>0</v>
      </c>
      <c r="J69" s="9">
        <f t="shared" si="3"/>
        <v>0</v>
      </c>
      <c r="K69">
        <f t="shared" si="4"/>
        <v>0</v>
      </c>
      <c r="L69" s="9">
        <v>7001</v>
      </c>
      <c r="M69" s="9"/>
      <c r="N69">
        <v>0.5</v>
      </c>
      <c r="O69" s="9">
        <f t="shared" si="5"/>
        <v>0</v>
      </c>
      <c r="P69" s="9">
        <f t="shared" si="6"/>
        <v>0</v>
      </c>
      <c r="Q69">
        <f t="shared" si="7"/>
        <v>0</v>
      </c>
      <c r="R69" s="9"/>
      <c r="T69" s="130">
        <f t="shared" si="8"/>
        <v>0</v>
      </c>
      <c r="U69">
        <f t="shared" si="9"/>
        <v>0</v>
      </c>
      <c r="V69" s="9">
        <v>25000</v>
      </c>
      <c r="W69" s="9">
        <f t="shared" si="10"/>
        <v>0</v>
      </c>
      <c r="X69" s="125"/>
    </row>
    <row r="70" spans="1:24" x14ac:dyDescent="0.25">
      <c r="A70" s="123">
        <f>IF(B5=B70,1,0)</f>
        <v>0</v>
      </c>
      <c r="B70" s="129" t="s">
        <v>92</v>
      </c>
      <c r="C70" t="s">
        <v>85</v>
      </c>
      <c r="D70" s="127">
        <v>4.7E-2</v>
      </c>
      <c r="E70" s="127">
        <f t="shared" si="1"/>
        <v>0</v>
      </c>
      <c r="F70" s="9">
        <v>1</v>
      </c>
      <c r="G70" s="9">
        <v>2350</v>
      </c>
      <c r="H70">
        <v>1</v>
      </c>
      <c r="I70" s="9">
        <f t="shared" si="2"/>
        <v>0</v>
      </c>
      <c r="J70" s="9">
        <f t="shared" si="3"/>
        <v>0</v>
      </c>
      <c r="K70">
        <f t="shared" si="4"/>
        <v>0</v>
      </c>
      <c r="L70" s="9">
        <v>2350.1</v>
      </c>
      <c r="M70" s="9"/>
      <c r="N70">
        <v>0.5</v>
      </c>
      <c r="O70" s="9">
        <f t="shared" si="5"/>
        <v>0</v>
      </c>
      <c r="P70" s="9">
        <f t="shared" si="6"/>
        <v>0</v>
      </c>
      <c r="Q70">
        <f t="shared" si="7"/>
        <v>0</v>
      </c>
      <c r="R70" s="9"/>
      <c r="T70" s="130">
        <f t="shared" si="8"/>
        <v>0</v>
      </c>
      <c r="U70">
        <f t="shared" si="9"/>
        <v>0</v>
      </c>
      <c r="V70" s="9">
        <v>8300</v>
      </c>
      <c r="W70" s="9">
        <f t="shared" si="10"/>
        <v>0</v>
      </c>
      <c r="X70" s="125"/>
    </row>
    <row r="71" spans="1:24" x14ac:dyDescent="0.25">
      <c r="A71" s="123">
        <f>IF(B5=B71,1,0)</f>
        <v>0</v>
      </c>
      <c r="B71" s="129" t="s">
        <v>93</v>
      </c>
      <c r="C71" t="s">
        <v>85</v>
      </c>
      <c r="D71" s="127">
        <v>4.7E-2</v>
      </c>
      <c r="E71" s="127">
        <f t="shared" si="1"/>
        <v>0</v>
      </c>
      <c r="F71" s="9">
        <v>1</v>
      </c>
      <c r="G71" s="9">
        <v>2350</v>
      </c>
      <c r="H71">
        <v>1</v>
      </c>
      <c r="I71" s="9">
        <f t="shared" si="2"/>
        <v>0</v>
      </c>
      <c r="J71" s="9">
        <f t="shared" si="3"/>
        <v>0</v>
      </c>
      <c r="K71">
        <f t="shared" si="4"/>
        <v>0</v>
      </c>
      <c r="L71" s="9">
        <v>2350.1</v>
      </c>
      <c r="M71" s="9"/>
      <c r="N71">
        <v>0.5</v>
      </c>
      <c r="O71" s="9">
        <f t="shared" si="5"/>
        <v>0</v>
      </c>
      <c r="P71" s="9">
        <f t="shared" si="6"/>
        <v>0</v>
      </c>
      <c r="Q71">
        <f t="shared" si="7"/>
        <v>0</v>
      </c>
      <c r="R71" s="9"/>
      <c r="T71" s="130">
        <f t="shared" si="8"/>
        <v>0</v>
      </c>
      <c r="U71">
        <f t="shared" si="9"/>
        <v>0</v>
      </c>
      <c r="V71" s="9">
        <v>8300</v>
      </c>
      <c r="W71" s="9">
        <f t="shared" si="10"/>
        <v>0</v>
      </c>
      <c r="X71" s="125"/>
    </row>
    <row r="72" spans="1:24" x14ac:dyDescent="0.25">
      <c r="A72" s="123">
        <f>IF(B5=B72,1,0)</f>
        <v>0</v>
      </c>
      <c r="B72" s="129" t="s">
        <v>94</v>
      </c>
      <c r="C72" t="s">
        <v>85</v>
      </c>
      <c r="D72" s="131">
        <v>7.0999999999999994E-2</v>
      </c>
      <c r="E72" s="127">
        <f t="shared" si="1"/>
        <v>0</v>
      </c>
      <c r="F72" s="9">
        <v>1</v>
      </c>
      <c r="G72" s="9">
        <v>3550</v>
      </c>
      <c r="H72">
        <v>1</v>
      </c>
      <c r="I72" s="9">
        <f t="shared" si="2"/>
        <v>0</v>
      </c>
      <c r="J72" s="9">
        <f t="shared" si="3"/>
        <v>0</v>
      </c>
      <c r="K72">
        <f t="shared" si="4"/>
        <v>0</v>
      </c>
      <c r="L72" s="9">
        <v>3550.1</v>
      </c>
      <c r="M72" s="9"/>
      <c r="N72">
        <v>0.5</v>
      </c>
      <c r="O72" s="9">
        <f t="shared" si="5"/>
        <v>0</v>
      </c>
      <c r="P72" s="9">
        <f t="shared" si="6"/>
        <v>0</v>
      </c>
      <c r="Q72">
        <f t="shared" si="7"/>
        <v>0</v>
      </c>
      <c r="R72" s="9"/>
      <c r="T72" s="130">
        <f t="shared" si="8"/>
        <v>0</v>
      </c>
      <c r="U72">
        <f t="shared" si="9"/>
        <v>0</v>
      </c>
      <c r="V72" s="9">
        <v>12500</v>
      </c>
      <c r="W72" s="9">
        <f t="shared" si="10"/>
        <v>0</v>
      </c>
      <c r="X72" s="125"/>
    </row>
    <row r="73" spans="1:24" x14ac:dyDescent="0.25">
      <c r="A73" s="123">
        <f>IF(B5=B73,1,0)</f>
        <v>0</v>
      </c>
      <c r="B73" s="129" t="s">
        <v>62</v>
      </c>
      <c r="C73" t="s">
        <v>85</v>
      </c>
      <c r="D73" s="127">
        <v>1.65</v>
      </c>
      <c r="E73" s="127">
        <f t="shared" si="1"/>
        <v>0</v>
      </c>
      <c r="F73" s="9">
        <v>1</v>
      </c>
      <c r="G73" s="9">
        <v>600</v>
      </c>
      <c r="H73">
        <v>1</v>
      </c>
      <c r="I73" s="9">
        <f t="shared" si="2"/>
        <v>0</v>
      </c>
      <c r="J73" s="9">
        <f t="shared" si="3"/>
        <v>0</v>
      </c>
      <c r="K73">
        <f t="shared" si="4"/>
        <v>0</v>
      </c>
      <c r="L73" s="9">
        <v>601</v>
      </c>
      <c r="M73" s="9">
        <v>90500</v>
      </c>
      <c r="N73">
        <v>0.5</v>
      </c>
      <c r="O73" s="9">
        <f t="shared" si="5"/>
        <v>0</v>
      </c>
      <c r="P73" s="9">
        <f t="shared" si="6"/>
        <v>0</v>
      </c>
      <c r="Q73">
        <f t="shared" si="7"/>
        <v>0</v>
      </c>
      <c r="R73" s="9">
        <v>90501</v>
      </c>
      <c r="S73">
        <v>0.3</v>
      </c>
      <c r="T73" s="9">
        <f t="shared" si="8"/>
        <v>0</v>
      </c>
      <c r="U73">
        <f t="shared" si="9"/>
        <v>0</v>
      </c>
      <c r="V73" s="9">
        <v>166100</v>
      </c>
      <c r="W73" s="9">
        <f t="shared" si="10"/>
        <v>0</v>
      </c>
      <c r="X73" s="125"/>
    </row>
    <row r="74" spans="1:24" x14ac:dyDescent="0.25">
      <c r="A74" s="123">
        <f>IF(B5=B74,1,0)</f>
        <v>0</v>
      </c>
      <c r="B74" s="129" t="s">
        <v>95</v>
      </c>
      <c r="C74" t="s">
        <v>85</v>
      </c>
      <c r="D74" s="127">
        <v>1.65</v>
      </c>
      <c r="E74" s="127">
        <f t="shared" si="1"/>
        <v>0</v>
      </c>
      <c r="F74" s="9">
        <v>1</v>
      </c>
      <c r="G74" s="9">
        <v>600</v>
      </c>
      <c r="H74">
        <v>1</v>
      </c>
      <c r="I74" s="9">
        <f t="shared" si="2"/>
        <v>0</v>
      </c>
      <c r="J74" s="9">
        <f t="shared" si="3"/>
        <v>0</v>
      </c>
      <c r="K74">
        <f t="shared" si="4"/>
        <v>0</v>
      </c>
      <c r="L74" s="9">
        <v>601</v>
      </c>
      <c r="M74" s="9">
        <v>90500</v>
      </c>
      <c r="N74" s="8">
        <v>0.5</v>
      </c>
      <c r="O74" s="9">
        <f t="shared" si="5"/>
        <v>0</v>
      </c>
      <c r="P74" s="9">
        <f t="shared" si="6"/>
        <v>0</v>
      </c>
      <c r="Q74">
        <f t="shared" si="7"/>
        <v>0</v>
      </c>
      <c r="R74" s="9">
        <v>90501</v>
      </c>
      <c r="S74">
        <v>0.3</v>
      </c>
      <c r="T74" s="9">
        <f t="shared" si="8"/>
        <v>0</v>
      </c>
      <c r="U74">
        <f t="shared" si="9"/>
        <v>0</v>
      </c>
      <c r="V74" s="9">
        <v>166100</v>
      </c>
      <c r="W74" s="9">
        <f t="shared" si="10"/>
        <v>0</v>
      </c>
      <c r="X74" s="125"/>
    </row>
    <row r="75" spans="1:24" x14ac:dyDescent="0.25">
      <c r="A75" s="123"/>
      <c r="E75" s="132">
        <f>SUM(E61:E74)</f>
        <v>7.0999999999999994E-2</v>
      </c>
      <c r="I75" s="133">
        <f>SUM(I61:I74)</f>
        <v>1</v>
      </c>
      <c r="J75" s="133">
        <f>SUM(J61:J74)</f>
        <v>3550</v>
      </c>
      <c r="K75" s="7">
        <f>SUM(K61:K74)</f>
        <v>1</v>
      </c>
      <c r="O75" s="133">
        <f>SUM(O61:O74)</f>
        <v>3550.1</v>
      </c>
      <c r="P75" s="133">
        <f>SUM(P61:P74)</f>
        <v>0</v>
      </c>
      <c r="Q75" s="7">
        <f>SUM(Q61:Q74)</f>
        <v>0.5</v>
      </c>
      <c r="T75" s="133">
        <f>SUM(T61:T74)</f>
        <v>0</v>
      </c>
      <c r="U75" s="7">
        <f>SUM(U61:U74)</f>
        <v>0</v>
      </c>
      <c r="W75" s="133">
        <f>SUM(W61:W74)</f>
        <v>12500</v>
      </c>
      <c r="X75" s="125"/>
    </row>
    <row r="76" spans="1:24" x14ac:dyDescent="0.25">
      <c r="A76" s="123"/>
      <c r="J76" s="7"/>
      <c r="O76" s="7"/>
      <c r="T76" s="7"/>
      <c r="X76" s="125"/>
    </row>
    <row r="77" spans="1:24" x14ac:dyDescent="0.25">
      <c r="A77" s="123"/>
      <c r="X77" s="125"/>
    </row>
    <row r="78" spans="1:24" x14ac:dyDescent="0.25">
      <c r="A78" s="123"/>
      <c r="B78" t="s">
        <v>63</v>
      </c>
      <c r="X78" s="125"/>
    </row>
    <row r="79" spans="1:24" x14ac:dyDescent="0.25">
      <c r="A79" s="123"/>
      <c r="B79" s="98" t="s">
        <v>77</v>
      </c>
      <c r="C79" s="98" t="s">
        <v>78</v>
      </c>
      <c r="D79" s="98" t="s">
        <v>79</v>
      </c>
      <c r="E79" s="98" t="s">
        <v>80</v>
      </c>
      <c r="F79" s="98" t="s">
        <v>10</v>
      </c>
      <c r="I79" s="98" t="s">
        <v>81</v>
      </c>
      <c r="L79" s="98" t="s">
        <v>12</v>
      </c>
      <c r="M79" s="98"/>
      <c r="N79" s="98"/>
      <c r="O79" s="98" t="s">
        <v>82</v>
      </c>
      <c r="P79" s="98"/>
      <c r="Q79" s="98"/>
      <c r="R79" s="98" t="s">
        <v>74</v>
      </c>
      <c r="S79" s="98"/>
      <c r="T79" s="98" t="s">
        <v>83</v>
      </c>
      <c r="U79" s="98"/>
      <c r="V79" s="98" t="s">
        <v>20</v>
      </c>
      <c r="W79" s="98" t="s">
        <v>84</v>
      </c>
      <c r="X79" s="125"/>
    </row>
    <row r="80" spans="1:24" x14ac:dyDescent="0.25">
      <c r="A80" s="123">
        <f>IF(B5=B80,1,0)</f>
        <v>0</v>
      </c>
      <c r="B80" s="129" t="s">
        <v>68</v>
      </c>
      <c r="C80" t="s">
        <v>96</v>
      </c>
      <c r="D80" s="127">
        <v>0.01</v>
      </c>
      <c r="E80" s="127">
        <f t="shared" ref="E80:E93" si="11">A80*D80</f>
        <v>0</v>
      </c>
      <c r="F80" s="9"/>
      <c r="G80" s="9"/>
      <c r="H80">
        <v>1</v>
      </c>
      <c r="I80" s="130">
        <f t="shared" ref="I80:I93" si="12">F80*A80</f>
        <v>0</v>
      </c>
      <c r="J80" s="130">
        <f t="shared" ref="J80:J93" si="13">G80*A80</f>
        <v>0</v>
      </c>
      <c r="K80">
        <f t="shared" ref="K80:K93" si="14">H80*A80</f>
        <v>0</v>
      </c>
      <c r="L80" s="130"/>
      <c r="M80" s="130"/>
      <c r="N80" s="97"/>
      <c r="O80" s="130">
        <f t="shared" ref="O80:O93" si="15">L80*A80</f>
        <v>0</v>
      </c>
      <c r="P80" s="130">
        <f t="shared" ref="P80:P93" si="16">M80*A80</f>
        <v>0</v>
      </c>
      <c r="Q80">
        <f t="shared" ref="Q80:Q93" si="17">N80*A80</f>
        <v>0</v>
      </c>
      <c r="R80" s="130"/>
      <c r="S80" s="97"/>
      <c r="T80" s="130">
        <f t="shared" ref="T80:T93" si="18">SUM(R80*A80)</f>
        <v>0</v>
      </c>
      <c r="U80">
        <f t="shared" ref="U80:U93" si="19">S80*A80</f>
        <v>0</v>
      </c>
      <c r="V80" s="9">
        <v>14607</v>
      </c>
      <c r="W80" s="9">
        <f t="shared" ref="W80:W93" si="20">V80*A80</f>
        <v>0</v>
      </c>
      <c r="X80" s="125"/>
    </row>
    <row r="81" spans="1:24" x14ac:dyDescent="0.25">
      <c r="A81" s="123">
        <f>IF(B5=B81,1,0)</f>
        <v>0</v>
      </c>
      <c r="B81" s="129" t="s">
        <v>70</v>
      </c>
      <c r="C81" t="s">
        <v>96</v>
      </c>
      <c r="D81" s="127">
        <v>0.105</v>
      </c>
      <c r="E81" s="127">
        <f t="shared" si="11"/>
        <v>0</v>
      </c>
      <c r="F81" s="9"/>
      <c r="G81" s="9"/>
      <c r="H81">
        <v>1</v>
      </c>
      <c r="I81" s="130">
        <f t="shared" si="12"/>
        <v>0</v>
      </c>
      <c r="J81" s="130">
        <f t="shared" si="13"/>
        <v>0</v>
      </c>
      <c r="K81">
        <f t="shared" si="14"/>
        <v>0</v>
      </c>
      <c r="L81" s="130"/>
      <c r="M81" s="130"/>
      <c r="N81" s="97"/>
      <c r="O81" s="130">
        <f t="shared" si="15"/>
        <v>0</v>
      </c>
      <c r="P81" s="130">
        <f t="shared" si="16"/>
        <v>0</v>
      </c>
      <c r="Q81">
        <f t="shared" si="17"/>
        <v>0</v>
      </c>
      <c r="R81" s="130"/>
      <c r="S81" s="97"/>
      <c r="T81" s="130">
        <f t="shared" si="18"/>
        <v>0</v>
      </c>
      <c r="U81">
        <f t="shared" si="19"/>
        <v>0</v>
      </c>
      <c r="V81" s="9">
        <v>14734</v>
      </c>
      <c r="W81" s="9">
        <f t="shared" si="20"/>
        <v>0</v>
      </c>
      <c r="X81" s="125"/>
    </row>
    <row r="82" spans="1:24" x14ac:dyDescent="0.25">
      <c r="A82" s="123">
        <f>IF(B5=B82,1,0)</f>
        <v>0</v>
      </c>
      <c r="B82" s="129" t="s">
        <v>72</v>
      </c>
      <c r="C82" t="s">
        <v>96</v>
      </c>
      <c r="D82" s="127">
        <v>0.105</v>
      </c>
      <c r="E82" s="127">
        <f t="shared" si="11"/>
        <v>0</v>
      </c>
      <c r="F82" s="9"/>
      <c r="G82" s="9"/>
      <c r="H82">
        <v>1</v>
      </c>
      <c r="I82" s="130">
        <f t="shared" si="12"/>
        <v>0</v>
      </c>
      <c r="J82" s="130">
        <f t="shared" si="13"/>
        <v>0</v>
      </c>
      <c r="K82">
        <f t="shared" si="14"/>
        <v>0</v>
      </c>
      <c r="L82" s="130"/>
      <c r="M82" s="130"/>
      <c r="N82" s="97"/>
      <c r="O82" s="130">
        <f t="shared" si="15"/>
        <v>0</v>
      </c>
      <c r="P82" s="130">
        <f t="shared" si="16"/>
        <v>0</v>
      </c>
      <c r="Q82">
        <f t="shared" si="17"/>
        <v>0</v>
      </c>
      <c r="R82" s="130"/>
      <c r="S82" s="97"/>
      <c r="T82" s="130">
        <f t="shared" si="18"/>
        <v>0</v>
      </c>
      <c r="U82">
        <f t="shared" si="19"/>
        <v>0</v>
      </c>
      <c r="V82" s="9">
        <v>14734</v>
      </c>
      <c r="W82" s="9">
        <f t="shared" si="20"/>
        <v>0</v>
      </c>
      <c r="X82" s="125"/>
    </row>
    <row r="83" spans="1:24" x14ac:dyDescent="0.25">
      <c r="A83" s="123">
        <f>IF(B5=B83,1,0)</f>
        <v>1</v>
      </c>
      <c r="B83" s="129" t="s">
        <v>86</v>
      </c>
      <c r="C83" t="s">
        <v>96</v>
      </c>
      <c r="D83" s="127">
        <v>0.71</v>
      </c>
      <c r="E83" s="127">
        <f t="shared" si="11"/>
        <v>0.71</v>
      </c>
      <c r="F83" s="9">
        <v>1</v>
      </c>
      <c r="G83" s="9">
        <v>35500</v>
      </c>
      <c r="H83">
        <v>1</v>
      </c>
      <c r="I83" s="9">
        <f t="shared" si="12"/>
        <v>1</v>
      </c>
      <c r="J83" s="9">
        <f t="shared" si="13"/>
        <v>35500</v>
      </c>
      <c r="K83">
        <f t="shared" si="14"/>
        <v>1</v>
      </c>
      <c r="L83" s="9">
        <v>35501</v>
      </c>
      <c r="M83" s="9"/>
      <c r="N83">
        <v>0.5</v>
      </c>
      <c r="O83" s="9">
        <f t="shared" si="15"/>
        <v>35501</v>
      </c>
      <c r="P83" s="9">
        <f t="shared" si="16"/>
        <v>0</v>
      </c>
      <c r="Q83">
        <f t="shared" si="17"/>
        <v>0.5</v>
      </c>
      <c r="R83" s="9"/>
      <c r="T83" s="130">
        <f t="shared" si="18"/>
        <v>0</v>
      </c>
      <c r="U83">
        <f t="shared" si="19"/>
        <v>0</v>
      </c>
      <c r="V83" s="9">
        <v>125000</v>
      </c>
      <c r="W83" s="9">
        <f t="shared" si="20"/>
        <v>125000</v>
      </c>
      <c r="X83" s="125"/>
    </row>
    <row r="84" spans="1:24" x14ac:dyDescent="0.25">
      <c r="A84" s="123">
        <f>IF(B5=B84,1,0)</f>
        <v>0</v>
      </c>
      <c r="B84" s="129" t="s">
        <v>87</v>
      </c>
      <c r="C84" t="s">
        <v>96</v>
      </c>
      <c r="D84" s="127">
        <v>0.28399999999999997</v>
      </c>
      <c r="E84" s="127">
        <f t="shared" si="11"/>
        <v>0</v>
      </c>
      <c r="F84" s="9">
        <v>1</v>
      </c>
      <c r="G84" s="9">
        <v>14000</v>
      </c>
      <c r="H84">
        <v>1</v>
      </c>
      <c r="I84" s="9">
        <f t="shared" si="12"/>
        <v>0</v>
      </c>
      <c r="J84" s="9">
        <f t="shared" si="13"/>
        <v>0</v>
      </c>
      <c r="K84">
        <f t="shared" si="14"/>
        <v>0</v>
      </c>
      <c r="L84" s="9">
        <v>14001</v>
      </c>
      <c r="M84" s="9"/>
      <c r="N84">
        <v>0.5</v>
      </c>
      <c r="O84" s="9">
        <f t="shared" si="15"/>
        <v>0</v>
      </c>
      <c r="P84" s="9">
        <f t="shared" si="16"/>
        <v>0</v>
      </c>
      <c r="Q84">
        <f t="shared" si="17"/>
        <v>0</v>
      </c>
      <c r="R84" s="9"/>
      <c r="T84" s="130">
        <f t="shared" si="18"/>
        <v>0</v>
      </c>
      <c r="U84">
        <f t="shared" si="19"/>
        <v>0</v>
      </c>
      <c r="V84" s="9">
        <v>50000</v>
      </c>
      <c r="W84" s="9">
        <f t="shared" si="20"/>
        <v>0</v>
      </c>
      <c r="X84" s="125"/>
    </row>
    <row r="85" spans="1:24" x14ac:dyDescent="0.25">
      <c r="A85" s="123">
        <f>IF(B5=B85,1,0)</f>
        <v>0</v>
      </c>
      <c r="B85" s="129" t="s">
        <v>88</v>
      </c>
      <c r="C85" t="s">
        <v>96</v>
      </c>
      <c r="D85" s="127">
        <v>0.85</v>
      </c>
      <c r="E85" s="127">
        <f t="shared" si="11"/>
        <v>0</v>
      </c>
      <c r="F85" s="9">
        <v>1</v>
      </c>
      <c r="G85" s="9">
        <v>41738</v>
      </c>
      <c r="H85">
        <v>1</v>
      </c>
      <c r="I85" s="9">
        <f t="shared" si="12"/>
        <v>0</v>
      </c>
      <c r="J85" s="9">
        <f t="shared" si="13"/>
        <v>0</v>
      </c>
      <c r="K85">
        <f t="shared" si="14"/>
        <v>0</v>
      </c>
      <c r="L85" s="9">
        <v>41739</v>
      </c>
      <c r="M85" s="9"/>
      <c r="N85">
        <v>0.4</v>
      </c>
      <c r="O85" s="9">
        <f t="shared" si="15"/>
        <v>0</v>
      </c>
      <c r="P85" s="9">
        <f t="shared" si="16"/>
        <v>0</v>
      </c>
      <c r="Q85">
        <f t="shared" si="17"/>
        <v>0</v>
      </c>
      <c r="R85" s="9"/>
      <c r="T85" s="130">
        <f t="shared" si="18"/>
        <v>0</v>
      </c>
      <c r="U85">
        <f t="shared" si="19"/>
        <v>0</v>
      </c>
      <c r="V85" s="9">
        <v>116865</v>
      </c>
      <c r="W85" s="9">
        <f t="shared" si="20"/>
        <v>0</v>
      </c>
      <c r="X85" s="125"/>
    </row>
    <row r="86" spans="1:24" x14ac:dyDescent="0.25">
      <c r="A86" s="123">
        <f>IF(B5=B86,1,0)</f>
        <v>0</v>
      </c>
      <c r="B86" s="129" t="s">
        <v>89</v>
      </c>
      <c r="C86" t="s">
        <v>96</v>
      </c>
      <c r="D86" s="127">
        <v>1.7</v>
      </c>
      <c r="E86" s="127">
        <f t="shared" si="11"/>
        <v>0</v>
      </c>
      <c r="F86" s="9">
        <v>1</v>
      </c>
      <c r="G86" s="9">
        <v>60000</v>
      </c>
      <c r="H86">
        <v>1</v>
      </c>
      <c r="I86" s="9">
        <f t="shared" si="12"/>
        <v>0</v>
      </c>
      <c r="J86" s="9">
        <f t="shared" si="13"/>
        <v>0</v>
      </c>
      <c r="K86">
        <f t="shared" si="14"/>
        <v>0</v>
      </c>
      <c r="L86" s="9">
        <v>60001</v>
      </c>
      <c r="M86" s="9"/>
      <c r="N86">
        <v>0.4</v>
      </c>
      <c r="O86" s="9">
        <f t="shared" si="15"/>
        <v>0</v>
      </c>
      <c r="P86" s="9">
        <f t="shared" si="16"/>
        <v>0</v>
      </c>
      <c r="Q86">
        <f t="shared" si="17"/>
        <v>0</v>
      </c>
      <c r="R86" s="9"/>
      <c r="T86" s="130">
        <f t="shared" si="18"/>
        <v>0</v>
      </c>
      <c r="U86">
        <f t="shared" si="19"/>
        <v>0</v>
      </c>
      <c r="V86" s="9">
        <v>234000</v>
      </c>
      <c r="W86" s="9">
        <f t="shared" si="20"/>
        <v>0</v>
      </c>
      <c r="X86" s="125"/>
    </row>
    <row r="87" spans="1:24" x14ac:dyDescent="0.25">
      <c r="A87" s="123">
        <f>IF(B5=B87,1,0)</f>
        <v>0</v>
      </c>
      <c r="B87" s="129" t="s">
        <v>90</v>
      </c>
      <c r="C87" t="s">
        <v>96</v>
      </c>
      <c r="D87" s="127">
        <v>0.34</v>
      </c>
      <c r="E87" s="127">
        <f t="shared" si="11"/>
        <v>0</v>
      </c>
      <c r="F87" s="9">
        <v>1</v>
      </c>
      <c r="G87" s="9">
        <v>27000</v>
      </c>
      <c r="H87">
        <v>1</v>
      </c>
      <c r="I87" s="9">
        <f t="shared" si="12"/>
        <v>0</v>
      </c>
      <c r="J87" s="9">
        <f t="shared" si="13"/>
        <v>0</v>
      </c>
      <c r="K87">
        <f t="shared" si="14"/>
        <v>0</v>
      </c>
      <c r="L87" s="9">
        <v>27001</v>
      </c>
      <c r="M87" s="9"/>
      <c r="N87">
        <v>0.5</v>
      </c>
      <c r="O87" s="9">
        <f t="shared" si="15"/>
        <v>0</v>
      </c>
      <c r="P87" s="9">
        <f t="shared" si="16"/>
        <v>0</v>
      </c>
      <c r="Q87">
        <f t="shared" si="17"/>
        <v>0</v>
      </c>
      <c r="R87" s="9"/>
      <c r="T87" s="130">
        <f t="shared" si="18"/>
        <v>0</v>
      </c>
      <c r="U87">
        <f t="shared" si="19"/>
        <v>0</v>
      </c>
      <c r="V87" s="9">
        <v>60500</v>
      </c>
      <c r="W87" s="9">
        <f t="shared" si="20"/>
        <v>0</v>
      </c>
      <c r="X87" s="125"/>
    </row>
    <row r="88" spans="1:24" x14ac:dyDescent="0.25">
      <c r="A88" s="123">
        <f>IF(B5=B88,1,0)</f>
        <v>0</v>
      </c>
      <c r="B88" s="129" t="s">
        <v>91</v>
      </c>
      <c r="C88" t="s">
        <v>96</v>
      </c>
      <c r="D88" s="127">
        <v>1.42</v>
      </c>
      <c r="E88" s="127">
        <f t="shared" si="11"/>
        <v>0</v>
      </c>
      <c r="F88" s="9">
        <v>1</v>
      </c>
      <c r="G88" s="9">
        <v>70000</v>
      </c>
      <c r="H88">
        <v>1</v>
      </c>
      <c r="I88" s="9">
        <f t="shared" si="12"/>
        <v>0</v>
      </c>
      <c r="J88" s="9">
        <f t="shared" si="13"/>
        <v>0</v>
      </c>
      <c r="K88">
        <f t="shared" si="14"/>
        <v>0</v>
      </c>
      <c r="L88" s="9">
        <v>70001</v>
      </c>
      <c r="M88" s="9"/>
      <c r="N88">
        <v>0.5</v>
      </c>
      <c r="O88" s="9">
        <f t="shared" si="15"/>
        <v>0</v>
      </c>
      <c r="P88" s="9">
        <f t="shared" si="16"/>
        <v>0</v>
      </c>
      <c r="Q88">
        <f t="shared" si="17"/>
        <v>0</v>
      </c>
      <c r="R88" s="9"/>
      <c r="T88" s="130">
        <f t="shared" si="18"/>
        <v>0</v>
      </c>
      <c r="U88">
        <f t="shared" si="19"/>
        <v>0</v>
      </c>
      <c r="V88" s="9">
        <v>250000</v>
      </c>
      <c r="W88" s="9">
        <f t="shared" si="20"/>
        <v>0</v>
      </c>
      <c r="X88" s="125"/>
    </row>
    <row r="89" spans="1:24" x14ac:dyDescent="0.25">
      <c r="A89" s="123">
        <f>IF(B5=B89,1,0)</f>
        <v>0</v>
      </c>
      <c r="B89" s="129" t="s">
        <v>92</v>
      </c>
      <c r="C89" t="s">
        <v>96</v>
      </c>
      <c r="D89" s="127">
        <v>0.47</v>
      </c>
      <c r="E89" s="127">
        <f t="shared" si="11"/>
        <v>0</v>
      </c>
      <c r="F89" s="9">
        <v>1</v>
      </c>
      <c r="G89" s="9">
        <v>23500</v>
      </c>
      <c r="H89">
        <v>1</v>
      </c>
      <c r="I89" s="9">
        <f t="shared" si="12"/>
        <v>0</v>
      </c>
      <c r="J89" s="9">
        <f t="shared" si="13"/>
        <v>0</v>
      </c>
      <c r="K89">
        <f t="shared" si="14"/>
        <v>0</v>
      </c>
      <c r="L89" s="9">
        <v>23501</v>
      </c>
      <c r="M89" s="9"/>
      <c r="N89">
        <v>0.5</v>
      </c>
      <c r="O89" s="9">
        <f t="shared" si="15"/>
        <v>0</v>
      </c>
      <c r="P89" s="9">
        <f t="shared" si="16"/>
        <v>0</v>
      </c>
      <c r="Q89">
        <f t="shared" si="17"/>
        <v>0</v>
      </c>
      <c r="R89" s="9"/>
      <c r="T89" s="130">
        <f t="shared" si="18"/>
        <v>0</v>
      </c>
      <c r="U89">
        <f t="shared" si="19"/>
        <v>0</v>
      </c>
      <c r="V89" s="9">
        <v>83000</v>
      </c>
      <c r="W89" s="9">
        <f t="shared" si="20"/>
        <v>0</v>
      </c>
      <c r="X89" s="125"/>
    </row>
    <row r="90" spans="1:24" x14ac:dyDescent="0.25">
      <c r="A90" s="123">
        <f>IF(B5=B90,1,0)</f>
        <v>0</v>
      </c>
      <c r="B90" s="129" t="s">
        <v>93</v>
      </c>
      <c r="C90" t="s">
        <v>96</v>
      </c>
      <c r="D90" s="127">
        <v>0.47</v>
      </c>
      <c r="E90" s="127">
        <f t="shared" si="11"/>
        <v>0</v>
      </c>
      <c r="F90" s="9">
        <v>1</v>
      </c>
      <c r="G90" s="9">
        <v>23500</v>
      </c>
      <c r="H90">
        <v>1</v>
      </c>
      <c r="I90" s="9">
        <f t="shared" si="12"/>
        <v>0</v>
      </c>
      <c r="J90" s="9">
        <f t="shared" si="13"/>
        <v>0</v>
      </c>
      <c r="K90">
        <f t="shared" si="14"/>
        <v>0</v>
      </c>
      <c r="L90" s="9">
        <v>23501</v>
      </c>
      <c r="M90" s="9"/>
      <c r="N90">
        <v>0.5</v>
      </c>
      <c r="O90" s="9">
        <f t="shared" si="15"/>
        <v>0</v>
      </c>
      <c r="P90" s="9">
        <f t="shared" si="16"/>
        <v>0</v>
      </c>
      <c r="Q90">
        <f t="shared" si="17"/>
        <v>0</v>
      </c>
      <c r="R90" s="9"/>
      <c r="T90" s="130">
        <f t="shared" si="18"/>
        <v>0</v>
      </c>
      <c r="U90">
        <f t="shared" si="19"/>
        <v>0</v>
      </c>
      <c r="V90" s="9">
        <v>83000</v>
      </c>
      <c r="W90" s="9">
        <f t="shared" si="20"/>
        <v>0</v>
      </c>
      <c r="X90" s="125"/>
    </row>
    <row r="91" spans="1:24" x14ac:dyDescent="0.25">
      <c r="A91" s="123">
        <f>IF(B5=B91,1,0)</f>
        <v>0</v>
      </c>
      <c r="B91" s="129" t="s">
        <v>94</v>
      </c>
      <c r="C91" t="s">
        <v>96</v>
      </c>
      <c r="D91" s="127">
        <v>0.71</v>
      </c>
      <c r="E91" s="127">
        <f t="shared" si="11"/>
        <v>0</v>
      </c>
      <c r="F91" s="9">
        <v>1</v>
      </c>
      <c r="G91" s="9">
        <v>35500</v>
      </c>
      <c r="H91">
        <v>1</v>
      </c>
      <c r="I91" s="9">
        <f t="shared" si="12"/>
        <v>0</v>
      </c>
      <c r="J91" s="9">
        <f t="shared" si="13"/>
        <v>0</v>
      </c>
      <c r="K91">
        <f t="shared" si="14"/>
        <v>0</v>
      </c>
      <c r="L91" s="9">
        <v>35501</v>
      </c>
      <c r="M91" s="9"/>
      <c r="N91">
        <v>0.5</v>
      </c>
      <c r="O91" s="9">
        <f t="shared" si="15"/>
        <v>0</v>
      </c>
      <c r="P91" s="9">
        <f t="shared" si="16"/>
        <v>0</v>
      </c>
      <c r="Q91">
        <f t="shared" si="17"/>
        <v>0</v>
      </c>
      <c r="R91" s="9"/>
      <c r="T91" s="130">
        <f t="shared" si="18"/>
        <v>0</v>
      </c>
      <c r="U91">
        <f t="shared" si="19"/>
        <v>0</v>
      </c>
      <c r="V91" s="9">
        <v>125000</v>
      </c>
      <c r="W91" s="9">
        <f t="shared" si="20"/>
        <v>0</v>
      </c>
      <c r="X91" s="125"/>
    </row>
    <row r="92" spans="1:24" x14ac:dyDescent="0.25">
      <c r="A92" s="123">
        <f>IF(B5=B92,1,0)</f>
        <v>0</v>
      </c>
      <c r="B92" s="129" t="s">
        <v>62</v>
      </c>
      <c r="C92" t="s">
        <v>96</v>
      </c>
      <c r="D92" s="127">
        <v>16.5</v>
      </c>
      <c r="E92" s="127">
        <f t="shared" si="11"/>
        <v>0</v>
      </c>
      <c r="F92" s="9">
        <v>1</v>
      </c>
      <c r="G92" s="9">
        <v>6000</v>
      </c>
      <c r="H92">
        <v>1</v>
      </c>
      <c r="I92" s="9">
        <f t="shared" si="12"/>
        <v>0</v>
      </c>
      <c r="J92" s="9">
        <f t="shared" si="13"/>
        <v>0</v>
      </c>
      <c r="K92">
        <f t="shared" si="14"/>
        <v>0</v>
      </c>
      <c r="L92" s="9">
        <v>6001</v>
      </c>
      <c r="M92" s="9">
        <v>905000</v>
      </c>
      <c r="N92">
        <v>0.5</v>
      </c>
      <c r="O92" s="9">
        <f t="shared" si="15"/>
        <v>0</v>
      </c>
      <c r="P92" s="9">
        <f t="shared" si="16"/>
        <v>0</v>
      </c>
      <c r="Q92">
        <f t="shared" si="17"/>
        <v>0</v>
      </c>
      <c r="R92" s="9">
        <v>905001</v>
      </c>
      <c r="S92">
        <v>0.3</v>
      </c>
      <c r="T92" s="9">
        <f t="shared" si="18"/>
        <v>0</v>
      </c>
      <c r="U92">
        <f t="shared" si="19"/>
        <v>0</v>
      </c>
      <c r="V92" s="9">
        <v>1661000</v>
      </c>
      <c r="W92" s="9">
        <f t="shared" si="20"/>
        <v>0</v>
      </c>
      <c r="X92" s="125"/>
    </row>
    <row r="93" spans="1:24" x14ac:dyDescent="0.25">
      <c r="A93" s="123">
        <f>IF(B5=B93,1,0)</f>
        <v>0</v>
      </c>
      <c r="B93" s="129" t="s">
        <v>95</v>
      </c>
      <c r="C93" t="s">
        <v>96</v>
      </c>
      <c r="D93" s="127">
        <v>16.5</v>
      </c>
      <c r="E93" s="127">
        <f t="shared" si="11"/>
        <v>0</v>
      </c>
      <c r="F93" s="9">
        <v>1</v>
      </c>
      <c r="G93" s="9">
        <v>6000</v>
      </c>
      <c r="H93">
        <v>1</v>
      </c>
      <c r="I93" s="9">
        <f t="shared" si="12"/>
        <v>0</v>
      </c>
      <c r="J93" s="9">
        <f t="shared" si="13"/>
        <v>0</v>
      </c>
      <c r="K93">
        <f t="shared" si="14"/>
        <v>0</v>
      </c>
      <c r="L93" s="9">
        <v>6001</v>
      </c>
      <c r="M93" s="9">
        <v>905000</v>
      </c>
      <c r="N93" s="8">
        <v>0.5</v>
      </c>
      <c r="O93" s="9">
        <f t="shared" si="15"/>
        <v>0</v>
      </c>
      <c r="P93" s="9">
        <f t="shared" si="16"/>
        <v>0</v>
      </c>
      <c r="Q93">
        <f t="shared" si="17"/>
        <v>0</v>
      </c>
      <c r="R93" s="9">
        <v>905001</v>
      </c>
      <c r="S93">
        <v>0.3</v>
      </c>
      <c r="T93" s="9">
        <f t="shared" si="18"/>
        <v>0</v>
      </c>
      <c r="U93">
        <f t="shared" si="19"/>
        <v>0</v>
      </c>
      <c r="V93" s="9">
        <v>1661000</v>
      </c>
      <c r="W93" s="9">
        <f t="shared" si="20"/>
        <v>0</v>
      </c>
      <c r="X93" s="125"/>
    </row>
    <row r="94" spans="1:24" x14ac:dyDescent="0.25">
      <c r="A94" s="123"/>
      <c r="E94" s="132">
        <f>SUM(E80:E93)</f>
        <v>0.71</v>
      </c>
      <c r="I94" s="133">
        <f>SUM(I80:I93)</f>
        <v>1</v>
      </c>
      <c r="J94" s="133">
        <f>SUM(J80:J93)</f>
        <v>35500</v>
      </c>
      <c r="K94" s="7">
        <f>SUM(K80:K93)</f>
        <v>1</v>
      </c>
      <c r="O94" s="133">
        <f>SUM(O80:O93)</f>
        <v>35501</v>
      </c>
      <c r="P94" s="133">
        <f>SUM(P80:P93)</f>
        <v>0</v>
      </c>
      <c r="Q94" s="7">
        <f>SUM(Q80:Q93)</f>
        <v>0.5</v>
      </c>
      <c r="T94" s="133">
        <f>SUM(T80:T93)</f>
        <v>0</v>
      </c>
      <c r="U94" s="7">
        <f>SUM(U80:U93)</f>
        <v>0</v>
      </c>
      <c r="W94" s="133">
        <f>SUM(W80:W93)</f>
        <v>125000</v>
      </c>
      <c r="X94" s="125"/>
    </row>
    <row r="95" spans="1:24" x14ac:dyDescent="0.25">
      <c r="A95" s="123"/>
      <c r="J95" s="7"/>
      <c r="O95" s="7"/>
      <c r="T95" s="7"/>
      <c r="X95" s="125"/>
    </row>
    <row r="96" spans="1:24" ht="15.75" thickBot="1" x14ac:dyDescent="0.3">
      <c r="A96" s="134"/>
      <c r="B96" s="135" t="s">
        <v>1</v>
      </c>
      <c r="C96" s="135" t="s">
        <v>11</v>
      </c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6"/>
      <c r="Q96" s="136"/>
      <c r="R96" s="136"/>
      <c r="S96" s="136"/>
      <c r="T96" s="136"/>
      <c r="U96" s="136"/>
      <c r="V96" s="136"/>
      <c r="W96" s="136"/>
      <c r="X96" s="137"/>
    </row>
    <row r="97" spans="1:4" x14ac:dyDescent="0.25">
      <c r="B97" t="s">
        <v>21</v>
      </c>
      <c r="C97">
        <v>0.95</v>
      </c>
    </row>
    <row r="98" spans="1:4" x14ac:dyDescent="0.25">
      <c r="B98" t="s">
        <v>22</v>
      </c>
      <c r="C98">
        <v>1</v>
      </c>
    </row>
    <row r="100" spans="1:4" x14ac:dyDescent="0.25">
      <c r="A100" s="98" t="s">
        <v>42</v>
      </c>
      <c r="B100" s="98" t="s">
        <v>3</v>
      </c>
      <c r="C100" s="98" t="s">
        <v>11</v>
      </c>
      <c r="D100" s="98" t="s">
        <v>41</v>
      </c>
    </row>
    <row r="101" spans="1:4" x14ac:dyDescent="0.25">
      <c r="A101">
        <f>IF(B11=B101,1,0)</f>
        <v>0</v>
      </c>
      <c r="B101" t="s">
        <v>23</v>
      </c>
      <c r="C101">
        <v>0</v>
      </c>
      <c r="D101">
        <f>A101*C101</f>
        <v>0</v>
      </c>
    </row>
    <row r="102" spans="1:4" x14ac:dyDescent="0.25">
      <c r="A102">
        <f>IF(B11=B102,1,0)</f>
        <v>0</v>
      </c>
      <c r="B102" t="s">
        <v>24</v>
      </c>
      <c r="C102">
        <v>0</v>
      </c>
      <c r="D102">
        <f t="shared" ref="D102:D119" si="21">A102*C102</f>
        <v>0</v>
      </c>
    </row>
    <row r="103" spans="1:4" x14ac:dyDescent="0.25">
      <c r="A103">
        <f>IF(B11=B103,1,0)</f>
        <v>0</v>
      </c>
      <c r="B103" t="s">
        <v>25</v>
      </c>
      <c r="C103">
        <v>0</v>
      </c>
      <c r="D103">
        <f t="shared" si="21"/>
        <v>0</v>
      </c>
    </row>
    <row r="104" spans="1:4" x14ac:dyDescent="0.25">
      <c r="A104">
        <f>IF(B11=B104,1,0)</f>
        <v>0</v>
      </c>
      <c r="B104" t="s">
        <v>26</v>
      </c>
      <c r="C104">
        <v>0.1</v>
      </c>
      <c r="D104">
        <f t="shared" si="21"/>
        <v>0</v>
      </c>
    </row>
    <row r="105" spans="1:4" x14ac:dyDescent="0.25">
      <c r="A105">
        <f>IF(B11=B105,1,0)</f>
        <v>0</v>
      </c>
      <c r="B105" t="s">
        <v>36</v>
      </c>
      <c r="C105">
        <v>0.1</v>
      </c>
      <c r="D105">
        <f t="shared" si="21"/>
        <v>0</v>
      </c>
    </row>
    <row r="106" spans="1:4" x14ac:dyDescent="0.25">
      <c r="A106">
        <f>IF(B11=B106,1,0)</f>
        <v>1</v>
      </c>
      <c r="B106" t="s">
        <v>27</v>
      </c>
      <c r="C106">
        <v>1</v>
      </c>
      <c r="D106">
        <f t="shared" si="21"/>
        <v>1</v>
      </c>
    </row>
    <row r="107" spans="1:4" x14ac:dyDescent="0.25">
      <c r="A107">
        <f>IF(B11=B107,1,0)</f>
        <v>0</v>
      </c>
      <c r="B107" t="s">
        <v>37</v>
      </c>
      <c r="C107">
        <v>1</v>
      </c>
      <c r="D107">
        <f t="shared" si="21"/>
        <v>0</v>
      </c>
    </row>
    <row r="108" spans="1:4" x14ac:dyDescent="0.25">
      <c r="A108">
        <f>IF(B11=B108,1,0)</f>
        <v>0</v>
      </c>
      <c r="B108" t="s">
        <v>38</v>
      </c>
      <c r="C108">
        <v>0.9</v>
      </c>
      <c r="D108">
        <f t="shared" si="21"/>
        <v>0</v>
      </c>
    </row>
    <row r="109" spans="1:4" x14ac:dyDescent="0.25">
      <c r="A109">
        <f>IF(B11=B109,1,0)</f>
        <v>0</v>
      </c>
      <c r="B109" t="s">
        <v>39</v>
      </c>
      <c r="C109">
        <v>0.8</v>
      </c>
      <c r="D109">
        <f t="shared" si="21"/>
        <v>0</v>
      </c>
    </row>
    <row r="110" spans="1:4" x14ac:dyDescent="0.25">
      <c r="A110">
        <f>IF(B11=B110,1,0)</f>
        <v>0</v>
      </c>
      <c r="B110" t="s">
        <v>40</v>
      </c>
      <c r="C110">
        <v>0.5</v>
      </c>
      <c r="D110">
        <f t="shared" si="21"/>
        <v>0</v>
      </c>
    </row>
    <row r="111" spans="1:4" x14ac:dyDescent="0.25">
      <c r="A111">
        <f>IF(B11=B111,1,0)</f>
        <v>0</v>
      </c>
      <c r="B111" t="s">
        <v>28</v>
      </c>
      <c r="C111">
        <v>1.8</v>
      </c>
      <c r="D111">
        <f t="shared" si="21"/>
        <v>0</v>
      </c>
    </row>
    <row r="112" spans="1:4" x14ac:dyDescent="0.25">
      <c r="A112">
        <f>IF(B11=B112,1,0)</f>
        <v>0</v>
      </c>
      <c r="B112" t="s">
        <v>29</v>
      </c>
      <c r="C112">
        <v>1.5</v>
      </c>
      <c r="D112">
        <f t="shared" si="21"/>
        <v>0</v>
      </c>
    </row>
    <row r="113" spans="1:4" x14ac:dyDescent="0.25">
      <c r="A113">
        <f>IF(B11=B113,1,0)</f>
        <v>0</v>
      </c>
      <c r="B113" t="s">
        <v>30</v>
      </c>
      <c r="C113">
        <v>1.2</v>
      </c>
      <c r="D113">
        <f t="shared" si="21"/>
        <v>0</v>
      </c>
    </row>
    <row r="114" spans="1:4" x14ac:dyDescent="0.25">
      <c r="A114">
        <f>IF(B11=B114,1,0)</f>
        <v>0</v>
      </c>
      <c r="B114" t="s">
        <v>31</v>
      </c>
      <c r="C114">
        <v>1</v>
      </c>
      <c r="D114">
        <f t="shared" si="21"/>
        <v>0</v>
      </c>
    </row>
    <row r="115" spans="1:4" x14ac:dyDescent="0.25">
      <c r="A115">
        <f>IF(B11=B115,1,0)</f>
        <v>0</v>
      </c>
      <c r="B115" t="s">
        <v>32</v>
      </c>
      <c r="C115">
        <v>0</v>
      </c>
      <c r="D115">
        <f t="shared" si="21"/>
        <v>0</v>
      </c>
    </row>
    <row r="116" spans="1:4" x14ac:dyDescent="0.25">
      <c r="A116">
        <f>IF(B11=B116,1,0)</f>
        <v>0</v>
      </c>
      <c r="B116" t="s">
        <v>33</v>
      </c>
      <c r="C116">
        <v>0</v>
      </c>
      <c r="D116">
        <f t="shared" si="21"/>
        <v>0</v>
      </c>
    </row>
    <row r="117" spans="1:4" x14ac:dyDescent="0.25">
      <c r="A117">
        <f>IF(B11=B117,1,0)</f>
        <v>0</v>
      </c>
      <c r="B117" t="s">
        <v>34</v>
      </c>
      <c r="C117">
        <v>0</v>
      </c>
      <c r="D117">
        <f t="shared" si="21"/>
        <v>0</v>
      </c>
    </row>
    <row r="118" spans="1:4" x14ac:dyDescent="0.25">
      <c r="A118">
        <f>IF(B11=B118,1,0)</f>
        <v>0</v>
      </c>
      <c r="B118" t="s">
        <v>35</v>
      </c>
      <c r="C118">
        <v>0</v>
      </c>
      <c r="D118">
        <f t="shared" si="21"/>
        <v>0</v>
      </c>
    </row>
    <row r="119" spans="1:4" x14ac:dyDescent="0.25">
      <c r="A119">
        <f>IF(B11=B119,1,0)</f>
        <v>0</v>
      </c>
      <c r="C119">
        <v>0</v>
      </c>
      <c r="D119">
        <f t="shared" si="21"/>
        <v>0</v>
      </c>
    </row>
    <row r="120" spans="1:4" x14ac:dyDescent="0.25">
      <c r="B120" s="98" t="s">
        <v>41</v>
      </c>
      <c r="C120" s="98"/>
      <c r="D120" s="98">
        <f>SUM(D101:D119)</f>
        <v>1</v>
      </c>
    </row>
    <row r="122" spans="1:4" s="136" customFormat="1" ht="15.75" thickBot="1" x14ac:dyDescent="0.3"/>
    <row r="125" spans="1:4" x14ac:dyDescent="0.25">
      <c r="A125" s="98" t="s">
        <v>42</v>
      </c>
      <c r="B125" s="98" t="s">
        <v>97</v>
      </c>
      <c r="C125" s="98" t="s">
        <v>99</v>
      </c>
      <c r="D125" s="98" t="s">
        <v>100</v>
      </c>
    </row>
    <row r="126" spans="1:4" x14ac:dyDescent="0.25">
      <c r="A126" s="123">
        <f>IF($B$5=B126,1,0)</f>
        <v>1</v>
      </c>
      <c r="B126" s="129" t="s">
        <v>86</v>
      </c>
      <c r="C126">
        <v>2</v>
      </c>
      <c r="D126">
        <f t="shared" ref="D126:D139" si="22">A126*C126</f>
        <v>2</v>
      </c>
    </row>
    <row r="127" spans="1:4" x14ac:dyDescent="0.25">
      <c r="A127" s="123">
        <f t="shared" ref="A127:A139" si="23">IF($B$5=B127,1,0)</f>
        <v>0</v>
      </c>
      <c r="B127" s="129" t="s">
        <v>87</v>
      </c>
      <c r="C127">
        <v>2</v>
      </c>
      <c r="D127">
        <f t="shared" si="22"/>
        <v>0</v>
      </c>
    </row>
    <row r="128" spans="1:4" x14ac:dyDescent="0.25">
      <c r="A128" s="123">
        <f t="shared" si="23"/>
        <v>0</v>
      </c>
      <c r="B128" s="129" t="s">
        <v>88</v>
      </c>
      <c r="C128">
        <v>2</v>
      </c>
      <c r="D128">
        <f t="shared" si="22"/>
        <v>0</v>
      </c>
    </row>
    <row r="129" spans="1:4" x14ac:dyDescent="0.25">
      <c r="A129" s="123">
        <f t="shared" si="23"/>
        <v>0</v>
      </c>
      <c r="B129" s="129" t="s">
        <v>89</v>
      </c>
      <c r="C129">
        <v>2</v>
      </c>
      <c r="D129">
        <f t="shared" si="22"/>
        <v>0</v>
      </c>
    </row>
    <row r="130" spans="1:4" x14ac:dyDescent="0.25">
      <c r="A130" s="123">
        <f t="shared" si="23"/>
        <v>0</v>
      </c>
      <c r="B130" s="129" t="s">
        <v>68</v>
      </c>
      <c r="C130">
        <v>1</v>
      </c>
      <c r="D130">
        <f t="shared" si="22"/>
        <v>0</v>
      </c>
    </row>
    <row r="131" spans="1:4" x14ac:dyDescent="0.25">
      <c r="A131" s="123">
        <f t="shared" si="23"/>
        <v>0</v>
      </c>
      <c r="B131" s="129" t="s">
        <v>90</v>
      </c>
      <c r="C131">
        <v>2</v>
      </c>
      <c r="D131">
        <f t="shared" si="22"/>
        <v>0</v>
      </c>
    </row>
    <row r="132" spans="1:4" x14ac:dyDescent="0.25">
      <c r="A132" s="123">
        <f t="shared" si="23"/>
        <v>0</v>
      </c>
      <c r="B132" s="129" t="s">
        <v>70</v>
      </c>
      <c r="C132">
        <v>1</v>
      </c>
      <c r="D132">
        <f t="shared" si="22"/>
        <v>0</v>
      </c>
    </row>
    <row r="133" spans="1:4" x14ac:dyDescent="0.25">
      <c r="A133" s="123">
        <f t="shared" si="23"/>
        <v>0</v>
      </c>
      <c r="B133" s="129" t="s">
        <v>62</v>
      </c>
      <c r="C133">
        <v>3</v>
      </c>
      <c r="D133">
        <f t="shared" si="22"/>
        <v>0</v>
      </c>
    </row>
    <row r="134" spans="1:4" x14ac:dyDescent="0.25">
      <c r="A134" s="123">
        <f t="shared" si="23"/>
        <v>0</v>
      </c>
      <c r="B134" s="129" t="s">
        <v>95</v>
      </c>
      <c r="C134">
        <v>3</v>
      </c>
      <c r="D134">
        <f t="shared" si="22"/>
        <v>0</v>
      </c>
    </row>
    <row r="135" spans="1:4" x14ac:dyDescent="0.25">
      <c r="A135" s="123">
        <f t="shared" si="23"/>
        <v>0</v>
      </c>
      <c r="B135" s="129" t="s">
        <v>72</v>
      </c>
      <c r="C135">
        <v>1</v>
      </c>
      <c r="D135">
        <f t="shared" si="22"/>
        <v>0</v>
      </c>
    </row>
    <row r="136" spans="1:4" x14ac:dyDescent="0.25">
      <c r="A136" s="123">
        <f t="shared" si="23"/>
        <v>0</v>
      </c>
      <c r="B136" s="129" t="s">
        <v>91</v>
      </c>
      <c r="C136">
        <v>2</v>
      </c>
      <c r="D136">
        <f t="shared" si="22"/>
        <v>0</v>
      </c>
    </row>
    <row r="137" spans="1:4" x14ac:dyDescent="0.25">
      <c r="A137" s="123">
        <f t="shared" si="23"/>
        <v>0</v>
      </c>
      <c r="B137" s="129" t="s">
        <v>92</v>
      </c>
      <c r="C137">
        <v>2</v>
      </c>
      <c r="D137">
        <f t="shared" si="22"/>
        <v>0</v>
      </c>
    </row>
    <row r="138" spans="1:4" x14ac:dyDescent="0.25">
      <c r="A138" s="123">
        <f t="shared" si="23"/>
        <v>0</v>
      </c>
      <c r="B138" s="129" t="s">
        <v>93</v>
      </c>
      <c r="C138">
        <v>2</v>
      </c>
      <c r="D138">
        <f t="shared" si="22"/>
        <v>0</v>
      </c>
    </row>
    <row r="139" spans="1:4" x14ac:dyDescent="0.25">
      <c r="A139" s="123">
        <f t="shared" si="23"/>
        <v>0</v>
      </c>
      <c r="B139" s="129" t="s">
        <v>94</v>
      </c>
      <c r="C139">
        <v>2</v>
      </c>
      <c r="D139">
        <f t="shared" si="22"/>
        <v>0</v>
      </c>
    </row>
    <row r="140" spans="1:4" x14ac:dyDescent="0.25">
      <c r="B140" s="98" t="s">
        <v>101</v>
      </c>
      <c r="C140" s="98"/>
      <c r="D140" s="98">
        <f>SUM(D125:D139)</f>
        <v>2</v>
      </c>
    </row>
  </sheetData>
  <sheetProtection sheet="1" selectLockedCells="1" sort="0" autoFilter="0"/>
  <sortState xmlns:xlrd2="http://schemas.microsoft.com/office/spreadsheetml/2017/richdata2" ref="B126:B139">
    <sortCondition ref="B126:B139"/>
  </sortState>
  <dataValidations disablePrompts="1" count="6">
    <dataValidation type="list" allowBlank="1" showInputMessage="1" showErrorMessage="1" sqref="B11 I11 P11" xr:uid="{6DF6C50E-6CE5-4012-9948-6AF41018570E}">
      <formula1>$B$101:$B$119</formula1>
    </dataValidation>
    <dataValidation type="list" allowBlank="1" showInputMessage="1" showErrorMessage="1" sqref="B9 I9 P9" xr:uid="{10876143-992A-4EED-96F7-1913E60A4A0D}">
      <formula1>$B$97:$B$98</formula1>
    </dataValidation>
    <dataValidation type="list" allowBlank="1" showInputMessage="1" showErrorMessage="1" sqref="B7 I7 P7" xr:uid="{1A9D2053-467A-48FA-97E4-4CD59414FAB8}">
      <formula1>$A$56:$A$57</formula1>
    </dataValidation>
    <dataValidation type="list" allowBlank="1" showInputMessage="1" showErrorMessage="1" sqref="P5" xr:uid="{54FD1230-32DC-4499-8233-B0C9F5F80324}">
      <formula1>$B$73:$B$74</formula1>
    </dataValidation>
    <dataValidation type="list" allowBlank="1" showInputMessage="1" showErrorMessage="1" sqref="I5" xr:uid="{FCEB8811-7F9E-44AE-9070-6507D66BEABC}">
      <formula1>$B$64:$B$72</formula1>
    </dataValidation>
    <dataValidation type="list" allowBlank="1" showInputMessage="1" showErrorMessage="1" sqref="B5" xr:uid="{A962C795-6F92-4C16-B61B-A96EEF85A32C}">
      <formula1>$B$61:$B$74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Laserdata NH</vt:lpstr>
      <vt:lpstr>LaserBeräkning</vt:lpstr>
      <vt:lpstr>Visningstjänster</vt:lpstr>
      <vt:lpstr>VisningBeräkning</vt:lpstr>
    </vt:vector>
  </TitlesOfParts>
  <Company>LM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Lantmäteriet</dc:creator>
  <cp:lastModifiedBy>Welin Ralph</cp:lastModifiedBy>
  <dcterms:created xsi:type="dcterms:W3CDTF">2026-02-17T09:18:39Z</dcterms:created>
  <dcterms:modified xsi:type="dcterms:W3CDTF">2026-03-30T08:45:09Z</dcterms:modified>
</cp:coreProperties>
</file>